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firstSheet="1" activeTab="1"/>
  </bookViews>
  <sheets>
    <sheet name="Реестр смет 1 кв. 2019" sheetId="1" r:id="rId1"/>
    <sheet name="сведения" sheetId="2" r:id="rId2"/>
    <sheet name="дефляторы  завершение" sheetId="3" r:id="rId3"/>
    <sheet name="Реестр смет  (1.01.2020)" sheetId="4" r:id="rId4"/>
  </sheets>
  <definedNames>
    <definedName name="_xlnm.Print_Area" localSheetId="2">'дефляторы  завершение'!$A$1:$M$74</definedName>
    <definedName name="_xlnm.Print_Area" localSheetId="3">'Реестр смет  (1.01.2020)'!$A$1:$H$38</definedName>
    <definedName name="_xlnm.Print_Area" localSheetId="0">'Реестр смет 1 кв. 2019'!$A$1:$H$31</definedName>
  </definedNames>
  <calcPr fullCalcOnLoad="1"/>
</workbook>
</file>

<file path=xl/sharedStrings.xml><?xml version="1.0" encoding="utf-8"?>
<sst xmlns="http://schemas.openxmlformats.org/spreadsheetml/2006/main" count="275" uniqueCount="124">
  <si>
    <t>№ пп</t>
  </si>
  <si>
    <t>Номера сметных расчетов и смет</t>
  </si>
  <si>
    <t>Наименование глав, объектов, работ и затрат</t>
  </si>
  <si>
    <t>Общая сметная стоимость, тыс.руб.</t>
  </si>
  <si>
    <t>строительных работ</t>
  </si>
  <si>
    <t>монтажных работ</t>
  </si>
  <si>
    <t>оборудов., мебели, инвентаря</t>
  </si>
  <si>
    <t>прочих</t>
  </si>
  <si>
    <t xml:space="preserve">  Временные здания и сооружения</t>
  </si>
  <si>
    <t>Итого по Главе 8</t>
  </si>
  <si>
    <t>Итого по Главам 1-8</t>
  </si>
  <si>
    <t xml:space="preserve">  Прочие работы и затраты</t>
  </si>
  <si>
    <t>Итого по Главе 9</t>
  </si>
  <si>
    <t>Итого по Главам 1-12</t>
  </si>
  <si>
    <t>Непредвиденные затраты</t>
  </si>
  <si>
    <t>Страхование строительных рисков 1%</t>
  </si>
  <si>
    <t>МДС81-35.2004 прил.8 п.12.3</t>
  </si>
  <si>
    <t>л.см.02-02-01</t>
  </si>
  <si>
    <t>Пусконаладочные работы</t>
  </si>
  <si>
    <t>Всего  в текущих ценах</t>
  </si>
  <si>
    <t>Итого в ценах 2001 г.</t>
  </si>
  <si>
    <t>Приложение №2</t>
  </si>
  <si>
    <t>Расчет №1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</si>
  <si>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</si>
  <si>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</si>
  <si>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</si>
  <si>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</si>
  <si>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</si>
  <si>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</si>
  <si>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</si>
  <si>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</si>
  <si>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</si>
  <si>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</si>
  <si>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</si>
  <si>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</si>
  <si>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к-т помесячной инфляции к началу строительства</t>
  </si>
  <si>
    <t xml:space="preserve">Расчет коэффициента инфляции на 2015 год </t>
  </si>
  <si>
    <t>к-т  помесячной инфляции на 2015 год</t>
  </si>
  <si>
    <t>к-т помесячной инфляции к началу 2015 года</t>
  </si>
  <si>
    <t>Расчет стоимости работ за 1 месяц в соответствии с расчетом начальной (максимальной) цены в текущих ценах тыс.руб</t>
  </si>
  <si>
    <t>всего стоимость работ</t>
  </si>
  <si>
    <t>количество месяцев строительства</t>
  </si>
  <si>
    <t>стоимость работ за 1 месяц</t>
  </si>
  <si>
    <t>СМР</t>
  </si>
  <si>
    <t>всего</t>
  </si>
  <si>
    <t>Расчет начальной (максимальной) цены  с учетом индексов-дефляторов на период проведения работ</t>
  </si>
  <si>
    <t>тыс. руб</t>
  </si>
  <si>
    <t>Всего стоимость работ :</t>
  </si>
  <si>
    <t>Предложение заказчика в торгах,тыс.руб.</t>
  </si>
  <si>
    <t>Итого  в базовых ценах</t>
  </si>
  <si>
    <t>к-т  помесячной инфляции на 2016 год</t>
  </si>
  <si>
    <t>к-т помесячной инфляции к началу 2016 года</t>
  </si>
  <si>
    <t>2016 год</t>
  </si>
  <si>
    <t>2016 г</t>
  </si>
  <si>
    <t>Учтено индексом 4кв. 2015г.</t>
  </si>
  <si>
    <t>№
п/п</t>
  </si>
  <si>
    <t>Наименование работ и затрат.</t>
  </si>
  <si>
    <t xml:space="preserve">Стоимость,
  тыс. рублей 
</t>
  </si>
  <si>
    <t>ГСН81-05-01-2001 п.5.6.1.</t>
  </si>
  <si>
    <t>Временные здания и сооружения 2,9%*0,85</t>
  </si>
  <si>
    <t>Зимнее удорожание 2,5%</t>
  </si>
  <si>
    <t>ВСЕГО :</t>
  </si>
  <si>
    <t>ГСН81-05-02-2007 п.13.2</t>
  </si>
  <si>
    <t>учтено индексами 1 квартала 2016г.</t>
  </si>
  <si>
    <t>08-02</t>
  </si>
  <si>
    <t>2017 г</t>
  </si>
  <si>
    <t>к-т  помесячной инфляции на 2017 год</t>
  </si>
  <si>
    <t>к-т помесячной инфляции к началу 2017 года</t>
  </si>
  <si>
    <t>Реконструкция канализационной насосной станции</t>
  </si>
  <si>
    <t>Площадочные сети 0,4кВ для реконструкции КНС</t>
  </si>
  <si>
    <t>Внеплощадочные сети 0,4кВ для реконструированной КНС</t>
  </si>
  <si>
    <t>Защита линейно-кабельных сооружений ПАО "Ростелеком" 2 этап</t>
  </si>
  <si>
    <t>08-04</t>
  </si>
  <si>
    <t>Защита газопровода и сетей связи от продавливания 2 этап</t>
  </si>
  <si>
    <t>07-04</t>
  </si>
  <si>
    <t>индекс</t>
  </si>
  <si>
    <t>с НДС</t>
  </si>
  <si>
    <t>С НДС и индекс</t>
  </si>
  <si>
    <t>2017год</t>
  </si>
  <si>
    <t>1.Формирование начальной (максимальной) цены договора выполнено в соответствии со  "Сводным сметным расчетом", прошедшим государственную экспертизу №48-1-1-4-0209-16 от 25.08.2016 г.выполненным  с применением индексов-дефляторов, установленных Министерством экономического развития Российской Федерации.</t>
  </si>
  <si>
    <t>СВЕДЕНИЯ</t>
  </si>
  <si>
    <t>ед.</t>
  </si>
  <si>
    <t>Кол-во</t>
  </si>
  <si>
    <t>изм.</t>
  </si>
  <si>
    <t>в том числе :</t>
  </si>
  <si>
    <t xml:space="preserve"> 2.При формировании начальной (максимальной) цены договора учтены все расходы Подрядчика, связанные с выполнением Подрядчиком всех обязательств по Договору, включая пусконаладочные работы, налоги, сборы и платежи, установленные законодательством Российской Федерации, в том числе плата за  пользование энергоресурсами, водой, канализацией, коммунальными услугами, услугами связи на период производства работ до получения разрешения на ввод Объекта в эксплуатацию, и причитающееся ему вознаграждение. </t>
  </si>
  <si>
    <t>об.см. 02-13 вып.2</t>
  </si>
  <si>
    <t>лок.см.02-14</t>
  </si>
  <si>
    <t>лок. см.02-15</t>
  </si>
  <si>
    <t xml:space="preserve">Расчет коэффициента инфляции на 2018год </t>
  </si>
  <si>
    <t>к-т  помесячной инфляции на 2018 год</t>
  </si>
  <si>
    <t>к-т помесячной инфляции к началу 2018 года</t>
  </si>
  <si>
    <t xml:space="preserve">  Посадка деревьев 2 этапа</t>
  </si>
  <si>
    <t>Оборудование</t>
  </si>
  <si>
    <t>Всего Без НДС</t>
  </si>
  <si>
    <t>НДС  20%</t>
  </si>
  <si>
    <r>
      <t xml:space="preserve">Расчет начальной ( максимальной) цены 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с учетом индексов-дефляторов по выполнению  работ по завершению строительства объекта:</t>
    </r>
  </si>
  <si>
    <t xml:space="preserve"> «Строительство канализационного коллектора с территории 2-ой очереди ОЭЗ ППТ «Липецк». II этап»</t>
  </si>
  <si>
    <t>о начальной (максимальной) цене единицы  работ по завершению строительства объекта:</t>
  </si>
  <si>
    <t xml:space="preserve"> Расчет стоимости выполнения  работ по завершению строительства объекта:</t>
  </si>
  <si>
    <t>2018год</t>
  </si>
  <si>
    <t xml:space="preserve">Расчет коэффициента инфляции на 2019 год </t>
  </si>
  <si>
    <t>к-т  помесячной инфляции на 2019 год</t>
  </si>
  <si>
    <t>Расчет коэффициента инфляции на 2016 год (факт)</t>
  </si>
  <si>
    <t>Использованы данные уровня фактической инфляции в РФ и  дефляторы МЭР РФ "Прогноз социально-экономического развития РФ на период до 2024г."</t>
  </si>
  <si>
    <r>
      <t>Сб.инд.цен на 1 кв. 2016г.</t>
    </r>
    <r>
      <rPr>
        <b/>
        <sz val="12"/>
        <color indexed="10"/>
        <rFont val="Times New Roman"/>
        <family val="1"/>
      </rPr>
      <t xml:space="preserve"> ( к ТЕР)</t>
    </r>
    <r>
      <rPr>
        <sz val="12"/>
        <rFont val="Times New Roman"/>
        <family val="1"/>
      </rPr>
      <t xml:space="preserve">  Минстрой России, письмо №4688-ХМ/05 от 19.02.2016г.</t>
    </r>
  </si>
  <si>
    <r>
      <t xml:space="preserve">Сметы на объект составлены в ТЕР и прошли госэкспертизу, то принимаем индекс перевода в текущие цены на 1 кв. 2016г. </t>
    </r>
    <r>
      <rPr>
        <b/>
        <i/>
        <sz val="12"/>
        <rFont val="Times New Roman"/>
        <family val="1"/>
      </rPr>
      <t>Ксмр=6,92  Коб=3,93</t>
    </r>
    <r>
      <rPr>
        <i/>
        <sz val="12"/>
        <rFont val="Times New Roman"/>
        <family val="1"/>
      </rPr>
      <t xml:space="preserve"> с последующими индексами-дефляторами</t>
    </r>
  </si>
  <si>
    <t>НДС 20%</t>
  </si>
  <si>
    <r>
      <t xml:space="preserve"> индекс перевода в текущие цены на 1 кв. 2016г. </t>
    </r>
    <r>
      <rPr>
        <b/>
        <i/>
        <sz val="12"/>
        <rFont val="Times New Roman"/>
        <family val="1"/>
      </rPr>
      <t>Ксмр=6,92  Коб=3,93</t>
    </r>
    <r>
      <rPr>
        <i/>
        <sz val="12"/>
        <rFont val="Times New Roman"/>
        <family val="1"/>
      </rPr>
      <t xml:space="preserve"> </t>
    </r>
  </si>
  <si>
    <t>к-т помесячной инфляции к началу 2019 года</t>
  </si>
  <si>
    <t xml:space="preserve">Канализационный коллектор </t>
  </si>
  <si>
    <t xml:space="preserve"> «Строительство канализационного коллектора с территории 2-ой очереди ОЭЗ ППТ «Липецк». 2 этап»</t>
  </si>
  <si>
    <t xml:space="preserve"> «Строительство канализационного коллектора с территории 2-ой очереди                                                                   ОЭЗ ППТ «Липецк». 2 этап»</t>
  </si>
  <si>
    <t>об.см. 02-13 вып.2 (+л.см.02-13-01 доп.1)</t>
  </si>
  <si>
    <t>Всего  в  ценах на 1 кв. 2016 года</t>
  </si>
  <si>
    <t>Средства на строительство данного объекта в ИП-2020 г</t>
  </si>
  <si>
    <t xml:space="preserve">Расчет коэффициента инфляции на 2020 год </t>
  </si>
  <si>
    <t>к-т  помесячной инфляции на 2020 год</t>
  </si>
  <si>
    <t>к-т помесячной инфляции к началу 2020 года</t>
  </si>
  <si>
    <t>2019год</t>
  </si>
  <si>
    <t>2020 год</t>
  </si>
  <si>
    <t>2020 г</t>
  </si>
  <si>
    <t>Строительство канализационного коллектора с территории 2-ой очереди ОЭЗ ППТ «Липецк». 2 этап</t>
  </si>
  <si>
    <t>Расчет коэффициента инфляции на 2017год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</si>
</sst>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_р_."/>
    <numFmt numFmtId="175" formatCode="0.00000"/>
    <numFmt numFmtId="176" formatCode="0.000000"/>
    <numFmt numFmtId="177" formatCode="#,##0.000_ ;\-#,##0.000\ "/>
    <numFmt numFmtId="178" formatCode="0.0000"/>
    <numFmt numFmtId="179" formatCode="_-* #,##0.000_р_._-;\-* #,##0.000_р_._-;_-* &quot;-&quot;???_р_._-;_-@_-"/>
    <numFmt numFmtId="180" formatCode="#,##0.00_ ;\-#,##0.00\ "/>
    <numFmt numFmtId="181" formatCode="#,##0.000_р_."/>
    <numFmt numFmtId="182" formatCode="#,##0.0"/>
    <numFmt numFmtId="183" formatCode="#,##0.0_р_."/>
    <numFmt numFmtId="184" formatCode="#,##0_р_."/>
    <numFmt numFmtId="185" formatCode="#,##0.0000_р_."/>
    <numFmt numFmtId="186" formatCode="#,##0.00000_р_."/>
    <numFmt numFmtId="187" formatCode="#,##0.0000"/>
    <numFmt numFmtId="188" formatCode="#,##0.00000"/>
    <numFmt numFmtId="189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color indexed="8"/>
      <name val="Arial"/>
      <family val="2"/>
    </font>
    <font>
      <sz val="9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>
      <alignment horizontal="left" vertical="top"/>
      <protection/>
    </xf>
    <xf numFmtId="0" fontId="12" fillId="0" borderId="1">
      <alignment horizontal="center" vertical="center"/>
      <protection/>
    </xf>
    <xf numFmtId="0" fontId="12" fillId="0" borderId="2">
      <alignment horizontal="center" vertical="center"/>
      <protection/>
    </xf>
    <xf numFmtId="0" fontId="12" fillId="0" borderId="2">
      <alignment horizontal="center" vertical="center"/>
      <protection/>
    </xf>
    <xf numFmtId="0" fontId="12" fillId="0" borderId="1">
      <alignment horizontal="center" vertical="center"/>
      <protection/>
    </xf>
    <xf numFmtId="0" fontId="12" fillId="0" borderId="3">
      <alignment horizontal="center" vertical="center"/>
      <protection/>
    </xf>
    <xf numFmtId="0" fontId="12" fillId="0" borderId="0">
      <alignment horizontal="right" vertical="top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4" applyNumberFormat="0" applyAlignment="0" applyProtection="0"/>
    <xf numFmtId="0" fontId="51" fillId="27" borderId="5" applyNumberFormat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28" borderId="10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13" fillId="0" borderId="0" xfId="60" applyFont="1">
      <alignment/>
      <protection/>
    </xf>
    <xf numFmtId="0" fontId="15" fillId="0" borderId="0" xfId="60" applyFont="1" applyAlignment="1">
      <alignment vertical="center" wrapText="1"/>
      <protection/>
    </xf>
    <xf numFmtId="0" fontId="17" fillId="0" borderId="1" xfId="60" applyFont="1" applyBorder="1" applyAlignment="1">
      <alignment horizontal="center"/>
      <protection/>
    </xf>
    <xf numFmtId="0" fontId="13" fillId="0" borderId="1" xfId="60" applyFont="1" applyBorder="1">
      <alignment/>
      <protection/>
    </xf>
    <xf numFmtId="175" fontId="13" fillId="0" borderId="1" xfId="60" applyNumberFormat="1" applyFont="1" applyBorder="1">
      <alignment/>
      <protection/>
    </xf>
    <xf numFmtId="175" fontId="13" fillId="33" borderId="1" xfId="60" applyNumberFormat="1" applyFont="1" applyFill="1" applyBorder="1">
      <alignment/>
      <protection/>
    </xf>
    <xf numFmtId="175" fontId="13" fillId="12" borderId="1" xfId="60" applyNumberFormat="1" applyFont="1" applyFill="1" applyBorder="1">
      <alignment/>
      <protection/>
    </xf>
    <xf numFmtId="172" fontId="13" fillId="0" borderId="0" xfId="60" applyNumberFormat="1" applyFont="1">
      <alignment/>
      <protection/>
    </xf>
    <xf numFmtId="0" fontId="17" fillId="0" borderId="3" xfId="60" applyFont="1" applyBorder="1" applyAlignment="1">
      <alignment horizontal="center"/>
      <protection/>
    </xf>
    <xf numFmtId="0" fontId="13" fillId="0" borderId="1" xfId="60" applyFont="1" applyBorder="1" applyAlignment="1">
      <alignment horizontal="center" vertical="center"/>
      <protection/>
    </xf>
    <xf numFmtId="0" fontId="13" fillId="0" borderId="3" xfId="60" applyFont="1" applyBorder="1" applyAlignment="1">
      <alignment horizontal="center" vertical="center"/>
      <protection/>
    </xf>
    <xf numFmtId="172" fontId="13" fillId="34" borderId="0" xfId="60" applyNumberFormat="1" applyFont="1" applyFill="1" applyAlignment="1">
      <alignment horizontal="right"/>
      <protection/>
    </xf>
    <xf numFmtId="0" fontId="19" fillId="0" borderId="1" xfId="60" applyFont="1" applyBorder="1" applyAlignment="1">
      <alignment horizontal="center"/>
      <protection/>
    </xf>
    <xf numFmtId="0" fontId="19" fillId="0" borderId="1" xfId="60" applyFont="1" applyFill="1" applyBorder="1" applyAlignment="1">
      <alignment horizontal="center"/>
      <protection/>
    </xf>
    <xf numFmtId="0" fontId="19" fillId="0" borderId="13" xfId="60" applyFont="1" applyBorder="1" applyAlignment="1">
      <alignment horizontal="center"/>
      <protection/>
    </xf>
    <xf numFmtId="2" fontId="13" fillId="0" borderId="1" xfId="60" applyNumberFormat="1" applyFont="1" applyBorder="1" applyAlignment="1">
      <alignment horizontal="center"/>
      <protection/>
    </xf>
    <xf numFmtId="172" fontId="13" fillId="4" borderId="1" xfId="60" applyNumberFormat="1" applyFont="1" applyFill="1" applyBorder="1">
      <alignment/>
      <protection/>
    </xf>
    <xf numFmtId="174" fontId="18" fillId="4" borderId="14" xfId="60" applyNumberFormat="1" applyFont="1" applyFill="1" applyBorder="1" applyAlignment="1">
      <alignment horizontal="center"/>
      <protection/>
    </xf>
    <xf numFmtId="0" fontId="13" fillId="0" borderId="0" xfId="60" applyFont="1" applyFill="1">
      <alignment/>
      <protection/>
    </xf>
    <xf numFmtId="0" fontId="0" fillId="0" borderId="0" xfId="0" applyFill="1" applyAlignment="1">
      <alignment/>
    </xf>
    <xf numFmtId="176" fontId="13" fillId="12" borderId="1" xfId="60" applyNumberFormat="1" applyFont="1" applyFill="1" applyBorder="1" applyAlignment="1">
      <alignment/>
      <protection/>
    </xf>
    <xf numFmtId="0" fontId="9" fillId="0" borderId="0" xfId="0" applyFont="1" applyBorder="1" applyAlignment="1">
      <alignment vertical="center" wrapText="1"/>
    </xf>
    <xf numFmtId="0" fontId="21" fillId="0" borderId="1" xfId="36" applyNumberFormat="1" applyFont="1" applyFill="1" applyBorder="1" applyAlignment="1">
      <alignment horizontal="center" vertical="center" wrapText="1"/>
      <protection/>
    </xf>
    <xf numFmtId="0" fontId="21" fillId="0" borderId="1" xfId="37" applyNumberFormat="1" applyFont="1" applyFill="1" applyBorder="1" applyAlignment="1">
      <alignment horizontal="center" vertical="center" wrapText="1"/>
      <protection/>
    </xf>
    <xf numFmtId="0" fontId="21" fillId="0" borderId="1" xfId="38" applyNumberFormat="1" applyFont="1" applyFill="1" applyBorder="1" applyAlignment="1">
      <alignment horizontal="center" vertical="center" wrapText="1"/>
      <protection/>
    </xf>
    <xf numFmtId="4" fontId="20" fillId="0" borderId="15" xfId="38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7" fillId="34" borderId="0" xfId="0" applyFont="1" applyFill="1" applyAlignment="1">
      <alignment/>
    </xf>
    <xf numFmtId="0" fontId="3" fillId="34" borderId="0" xfId="0" applyFont="1" applyFill="1" applyBorder="1" applyAlignment="1">
      <alignment vertical="center" wrapText="1"/>
    </xf>
    <xf numFmtId="0" fontId="8" fillId="34" borderId="0" xfId="0" applyFont="1" applyFill="1" applyAlignment="1">
      <alignment/>
    </xf>
    <xf numFmtId="49" fontId="4" fillId="34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top" wrapText="1"/>
    </xf>
    <xf numFmtId="49" fontId="4" fillId="34" borderId="1" xfId="0" applyNumberFormat="1" applyFont="1" applyFill="1" applyBorder="1" applyAlignment="1">
      <alignment horizontal="left" vertical="center" wrapText="1"/>
    </xf>
    <xf numFmtId="0" fontId="67" fillId="34" borderId="0" xfId="0" applyFont="1" applyFill="1" applyAlignment="1">
      <alignment vertical="center"/>
    </xf>
    <xf numFmtId="49" fontId="4" fillId="34" borderId="1" xfId="0" applyNumberFormat="1" applyFont="1" applyFill="1" applyBorder="1" applyAlignment="1">
      <alignment horizontal="left" vertical="top" wrapText="1"/>
    </xf>
    <xf numFmtId="49" fontId="4" fillId="34" borderId="1" xfId="0" applyNumberFormat="1" applyFont="1" applyFill="1" applyBorder="1" applyAlignment="1">
      <alignment horizontal="left" vertical="center"/>
    </xf>
    <xf numFmtId="0" fontId="5" fillId="34" borderId="1" xfId="0" applyFont="1" applyFill="1" applyBorder="1" applyAlignment="1">
      <alignment horizontal="left" vertical="center" wrapText="1"/>
    </xf>
    <xf numFmtId="4" fontId="5" fillId="34" borderId="1" xfId="0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top"/>
    </xf>
    <xf numFmtId="49" fontId="4" fillId="34" borderId="1" xfId="0" applyNumberFormat="1" applyFont="1" applyFill="1" applyBorder="1" applyAlignment="1">
      <alignment horizontal="left" vertical="top"/>
    </xf>
    <xf numFmtId="0" fontId="4" fillId="34" borderId="1" xfId="0" applyFont="1" applyFill="1" applyBorder="1" applyAlignment="1">
      <alignment horizontal="right" vertical="top" wrapText="1"/>
    </xf>
    <xf numFmtId="0" fontId="4" fillId="34" borderId="1" xfId="0" applyFont="1" applyFill="1" applyBorder="1" applyAlignment="1">
      <alignment horizontal="right" vertical="top"/>
    </xf>
    <xf numFmtId="0" fontId="10" fillId="34" borderId="1" xfId="0" applyFont="1" applyFill="1" applyBorder="1" applyAlignment="1">
      <alignment horizontal="left" vertical="center" wrapText="1"/>
    </xf>
    <xf numFmtId="0" fontId="4" fillId="34" borderId="1" xfId="0" applyFont="1" applyFill="1" applyBorder="1" applyAlignment="1">
      <alignment horizontal="left" vertical="center" wrapText="1"/>
    </xf>
    <xf numFmtId="2" fontId="4" fillId="34" borderId="1" xfId="0" applyNumberFormat="1" applyFont="1" applyFill="1" applyBorder="1" applyAlignment="1">
      <alignment horizontal="center" vertical="center" wrapText="1"/>
    </xf>
    <xf numFmtId="172" fontId="4" fillId="34" borderId="1" xfId="0" applyNumberFormat="1" applyFont="1" applyFill="1" applyBorder="1" applyAlignment="1">
      <alignment horizontal="center" vertical="center"/>
    </xf>
    <xf numFmtId="2" fontId="5" fillId="34" borderId="1" xfId="0" applyNumberFormat="1" applyFont="1" applyFill="1" applyBorder="1" applyAlignment="1">
      <alignment horizontal="center" vertical="center" wrapText="1"/>
    </xf>
    <xf numFmtId="2" fontId="5" fillId="34" borderId="1" xfId="0" applyNumberFormat="1" applyFont="1" applyFill="1" applyBorder="1" applyAlignment="1">
      <alignment horizontal="center" vertical="center"/>
    </xf>
    <xf numFmtId="2" fontId="67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/>
    </xf>
    <xf numFmtId="2" fontId="4" fillId="34" borderId="1" xfId="0" applyNumberFormat="1" applyFont="1" applyFill="1" applyBorder="1" applyAlignment="1">
      <alignment horizontal="right" vertical="center" wrapText="1"/>
    </xf>
    <xf numFmtId="172" fontId="4" fillId="34" borderId="1" xfId="0" applyNumberFormat="1" applyFont="1" applyFill="1" applyBorder="1" applyAlignment="1">
      <alignment horizontal="right" vertical="center" wrapText="1"/>
    </xf>
    <xf numFmtId="172" fontId="4" fillId="34" borderId="1" xfId="0" applyNumberFormat="1" applyFont="1" applyFill="1" applyBorder="1" applyAlignment="1">
      <alignment horizontal="right" vertical="center"/>
    </xf>
    <xf numFmtId="171" fontId="4" fillId="34" borderId="1" xfId="69" applyFont="1" applyFill="1" applyBorder="1" applyAlignment="1">
      <alignment horizontal="center" vertical="center"/>
    </xf>
    <xf numFmtId="171" fontId="4" fillId="34" borderId="1" xfId="69" applyFont="1" applyFill="1" applyBorder="1" applyAlignment="1">
      <alignment vertical="center" wrapText="1"/>
    </xf>
    <xf numFmtId="2" fontId="4" fillId="34" borderId="1" xfId="0" applyNumberFormat="1" applyFont="1" applyFill="1" applyBorder="1" applyAlignment="1">
      <alignment horizontal="right" vertical="top" wrapText="1"/>
    </xf>
    <xf numFmtId="2" fontId="67" fillId="34" borderId="0" xfId="0" applyNumberFormat="1" applyFont="1" applyFill="1" applyAlignment="1">
      <alignment/>
    </xf>
    <xf numFmtId="0" fontId="5" fillId="34" borderId="1" xfId="0" applyFont="1" applyFill="1" applyBorder="1" applyAlignment="1">
      <alignment horizontal="center" vertical="center"/>
    </xf>
    <xf numFmtId="49" fontId="5" fillId="34" borderId="1" xfId="0" applyNumberFormat="1" applyFont="1" applyFill="1" applyBorder="1" applyAlignment="1">
      <alignment horizontal="left" vertical="center"/>
    </xf>
    <xf numFmtId="172" fontId="5" fillId="34" borderId="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4" fontId="4" fillId="34" borderId="1" xfId="0" applyNumberFormat="1" applyFont="1" applyFill="1" applyBorder="1" applyAlignment="1">
      <alignment horizontal="center" vertical="center" wrapText="1"/>
    </xf>
    <xf numFmtId="4" fontId="4" fillId="34" borderId="1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right" vertical="center"/>
    </xf>
    <xf numFmtId="4" fontId="5" fillId="34" borderId="1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top"/>
    </xf>
    <xf numFmtId="49" fontId="6" fillId="34" borderId="0" xfId="0" applyNumberFormat="1" applyFont="1" applyFill="1" applyAlignment="1">
      <alignment vertical="top"/>
    </xf>
    <xf numFmtId="0" fontId="67" fillId="34" borderId="0" xfId="0" applyFont="1" applyFill="1" applyBorder="1" applyAlignment="1">
      <alignment/>
    </xf>
    <xf numFmtId="49" fontId="6" fillId="34" borderId="0" xfId="0" applyNumberFormat="1" applyFont="1" applyFill="1" applyAlignment="1">
      <alignment horizontal="left" vertical="top"/>
    </xf>
    <xf numFmtId="0" fontId="6" fillId="34" borderId="0" xfId="0" applyFont="1" applyFill="1" applyAlignment="1">
      <alignment horizontal="left" vertical="top"/>
    </xf>
    <xf numFmtId="0" fontId="6" fillId="34" borderId="0" xfId="0" applyFont="1" applyFill="1" applyAlignment="1">
      <alignment horizontal="right" vertical="top"/>
    </xf>
    <xf numFmtId="4" fontId="6" fillId="34" borderId="0" xfId="0" applyNumberFormat="1" applyFont="1" applyFill="1" applyAlignment="1">
      <alignment vertical="top"/>
    </xf>
    <xf numFmtId="171" fontId="67" fillId="34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2" fontId="67" fillId="12" borderId="0" xfId="0" applyNumberFormat="1" applyFont="1" applyFill="1" applyAlignment="1">
      <alignment/>
    </xf>
    <xf numFmtId="2" fontId="67" fillId="12" borderId="0" xfId="0" applyNumberFormat="1" applyFont="1" applyFill="1" applyAlignment="1">
      <alignment vertical="center"/>
    </xf>
    <xf numFmtId="2" fontId="68" fillId="12" borderId="0" xfId="0" applyNumberFormat="1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4" fillId="34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left" vertical="top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/>
    </xf>
    <xf numFmtId="49" fontId="10" fillId="34" borderId="1" xfId="0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4" fillId="34" borderId="1" xfId="0" applyFont="1" applyFill="1" applyBorder="1" applyAlignment="1">
      <alignment horizontal="center" vertical="center" wrapText="1"/>
    </xf>
    <xf numFmtId="0" fontId="21" fillId="0" borderId="15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2" fillId="0" borderId="15" xfId="36" applyNumberFormat="1" applyFont="1" applyFill="1" applyBorder="1" applyAlignment="1">
      <alignment horizontal="center" vertical="center" wrapText="1"/>
      <protection/>
    </xf>
    <xf numFmtId="0" fontId="22" fillId="0" borderId="1" xfId="37" applyNumberFormat="1" applyFont="1" applyFill="1" applyBorder="1" applyAlignment="1">
      <alignment horizontal="center" vertical="center" wrapText="1"/>
      <protection/>
    </xf>
    <xf numFmtId="0" fontId="22" fillId="0" borderId="15" xfId="37" applyNumberFormat="1" applyFont="1" applyFill="1" applyBorder="1" applyAlignment="1">
      <alignment horizontal="center" vertical="center" wrapText="1"/>
      <protection/>
    </xf>
    <xf numFmtId="4" fontId="23" fillId="0" borderId="15" xfId="38" applyNumberFormat="1" applyFont="1" applyFill="1" applyBorder="1" applyAlignment="1">
      <alignment horizontal="center" vertical="center" wrapText="1"/>
      <protection/>
    </xf>
    <xf numFmtId="4" fontId="22" fillId="0" borderId="15" xfId="38" applyNumberFormat="1" applyFont="1" applyFill="1" applyBorder="1" applyAlignment="1">
      <alignment horizontal="center" vertical="center" wrapText="1"/>
      <protection/>
    </xf>
    <xf numFmtId="49" fontId="4" fillId="34" borderId="1" xfId="0" applyNumberFormat="1" applyFont="1" applyFill="1" applyBorder="1" applyAlignment="1">
      <alignment vertical="center"/>
    </xf>
    <xf numFmtId="4" fontId="21" fillId="0" borderId="15" xfId="38" applyNumberFormat="1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6" fontId="13" fillId="34" borderId="16" xfId="60" applyNumberFormat="1" applyFont="1" applyFill="1" applyBorder="1" applyAlignment="1">
      <alignment/>
      <protection/>
    </xf>
    <xf numFmtId="175" fontId="13" fillId="34" borderId="16" xfId="60" applyNumberFormat="1" applyFont="1" applyFill="1" applyBorder="1">
      <alignment/>
      <protection/>
    </xf>
    <xf numFmtId="0" fontId="13" fillId="34" borderId="0" xfId="60" applyFont="1" applyFill="1">
      <alignment/>
      <protection/>
    </xf>
    <xf numFmtId="0" fontId="0" fillId="34" borderId="0" xfId="0" applyFill="1" applyAlignment="1">
      <alignment/>
    </xf>
    <xf numFmtId="188" fontId="6" fillId="34" borderId="0" xfId="0" applyNumberFormat="1" applyFont="1" applyFill="1" applyAlignment="1">
      <alignment vertical="top"/>
    </xf>
    <xf numFmtId="4" fontId="6" fillId="34" borderId="0" xfId="0" applyNumberFormat="1" applyFont="1" applyFill="1" applyAlignment="1">
      <alignment horizontal="right" vertical="top"/>
    </xf>
    <xf numFmtId="0" fontId="8" fillId="34" borderId="0" xfId="0" applyFont="1" applyFill="1" applyAlignment="1">
      <alignment vertical="center"/>
    </xf>
    <xf numFmtId="174" fontId="18" fillId="0" borderId="14" xfId="60" applyNumberFormat="1" applyFont="1" applyFill="1" applyBorder="1" applyAlignment="1">
      <alignment horizontal="center"/>
      <protection/>
    </xf>
    <xf numFmtId="0" fontId="4" fillId="34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171" fontId="4" fillId="34" borderId="1" xfId="69" applyFont="1" applyFill="1" applyBorder="1" applyAlignment="1">
      <alignment horizontal="center" vertical="center" wrapText="1"/>
    </xf>
    <xf numFmtId="180" fontId="4" fillId="34" borderId="1" xfId="0" applyNumberFormat="1" applyFont="1" applyFill="1" applyBorder="1" applyAlignment="1">
      <alignment horizontal="center" vertical="center" wrapText="1"/>
    </xf>
    <xf numFmtId="2" fontId="8" fillId="34" borderId="0" xfId="0" applyNumberFormat="1" applyFont="1" applyFill="1" applyAlignment="1">
      <alignment vertical="center"/>
    </xf>
    <xf numFmtId="43" fontId="67" fillId="34" borderId="0" xfId="0" applyNumberFormat="1" applyFont="1" applyFill="1" applyAlignment="1">
      <alignment/>
    </xf>
    <xf numFmtId="43" fontId="8" fillId="34" borderId="0" xfId="0" applyNumberFormat="1" applyFont="1" applyFill="1" applyAlignment="1">
      <alignment/>
    </xf>
    <xf numFmtId="43" fontId="68" fillId="34" borderId="0" xfId="0" applyNumberFormat="1" applyFont="1" applyFill="1" applyAlignment="1">
      <alignment vertical="center"/>
    </xf>
    <xf numFmtId="0" fontId="2" fillId="34" borderId="1" xfId="0" applyFont="1" applyFill="1" applyBorder="1" applyAlignment="1">
      <alignment horizontal="left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left" vertical="top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/>
    </xf>
    <xf numFmtId="174" fontId="15" fillId="13" borderId="1" xfId="60" applyNumberFormat="1" applyFont="1" applyFill="1" applyBorder="1" applyAlignment="1">
      <alignment horizontal="center"/>
      <protection/>
    </xf>
    <xf numFmtId="176" fontId="13" fillId="34" borderId="0" xfId="60" applyNumberFormat="1" applyFont="1" applyFill="1" applyBorder="1" applyAlignment="1">
      <alignment horizontal="center"/>
      <protection/>
    </xf>
    <xf numFmtId="176" fontId="13" fillId="34" borderId="0" xfId="60" applyNumberFormat="1" applyFont="1" applyFill="1" applyBorder="1" applyAlignment="1">
      <alignment/>
      <protection/>
    </xf>
    <xf numFmtId="175" fontId="13" fillId="34" borderId="0" xfId="60" applyNumberFormat="1" applyFont="1" applyFill="1" applyBorder="1">
      <alignment/>
      <protection/>
    </xf>
    <xf numFmtId="0" fontId="4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left" vertical="top" wrapText="1"/>
    </xf>
    <xf numFmtId="0" fontId="4" fillId="34" borderId="1" xfId="0" applyFont="1" applyFill="1" applyBorder="1" applyAlignment="1">
      <alignment horizontal="left" vertical="top" wrapText="1"/>
    </xf>
    <xf numFmtId="49" fontId="2" fillId="34" borderId="0" xfId="0" applyNumberFormat="1" applyFont="1" applyFill="1" applyAlignment="1">
      <alignment horizontal="center" vertical="top"/>
    </xf>
    <xf numFmtId="0" fontId="3" fillId="34" borderId="17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/>
    </xf>
    <xf numFmtId="0" fontId="10" fillId="0" borderId="16" xfId="39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23" fillId="0" borderId="0" xfId="33" applyFont="1" applyFill="1" applyBorder="1" applyAlignment="1">
      <alignment horizontal="center" wrapText="1"/>
      <protection/>
    </xf>
    <xf numFmtId="0" fontId="71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1" xfId="35" applyFont="1" applyFill="1" applyBorder="1" applyAlignment="1" quotePrefix="1">
      <alignment horizontal="center" vertical="center" wrapText="1"/>
      <protection/>
    </xf>
    <xf numFmtId="0" fontId="21" fillId="0" borderId="1" xfId="35" applyFont="1" applyFill="1" applyBorder="1" applyAlignment="1">
      <alignment horizontal="center" vertical="center" wrapText="1"/>
      <protection/>
    </xf>
    <xf numFmtId="0" fontId="21" fillId="0" borderId="1" xfId="34" applyFont="1" applyFill="1" applyBorder="1" applyAlignment="1" quotePrefix="1">
      <alignment horizontal="center" vertical="center" wrapText="1"/>
      <protection/>
    </xf>
    <xf numFmtId="0" fontId="21" fillId="0" borderId="1" xfId="34" applyFont="1" applyFill="1" applyBorder="1" applyAlignment="1">
      <alignment horizontal="center" vertical="center" wrapText="1"/>
      <protection/>
    </xf>
    <xf numFmtId="0" fontId="21" fillId="0" borderId="15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3" xfId="60" applyFont="1" applyBorder="1" applyAlignment="1">
      <alignment horizontal="center"/>
      <protection/>
    </xf>
    <xf numFmtId="0" fontId="9" fillId="0" borderId="13" xfId="60" applyFont="1" applyBorder="1" applyAlignment="1">
      <alignment horizontal="center"/>
      <protection/>
    </xf>
    <xf numFmtId="0" fontId="9" fillId="0" borderId="2" xfId="60" applyFont="1" applyBorder="1" applyAlignment="1">
      <alignment horizontal="center"/>
      <protection/>
    </xf>
    <xf numFmtId="0" fontId="15" fillId="34" borderId="13" xfId="60" applyFont="1" applyFill="1" applyBorder="1" applyAlignment="1">
      <alignment horizontal="center" vertical="center"/>
      <protection/>
    </xf>
    <xf numFmtId="172" fontId="16" fillId="34" borderId="3" xfId="60" applyNumberFormat="1" applyFont="1" applyFill="1" applyBorder="1" applyAlignment="1">
      <alignment horizontal="center"/>
      <protection/>
    </xf>
    <xf numFmtId="172" fontId="16" fillId="34" borderId="13" xfId="60" applyNumberFormat="1" applyFont="1" applyFill="1" applyBorder="1" applyAlignment="1">
      <alignment horizontal="center"/>
      <protection/>
    </xf>
    <xf numFmtId="172" fontId="16" fillId="34" borderId="2" xfId="60" applyNumberFormat="1" applyFont="1" applyFill="1" applyBorder="1" applyAlignment="1">
      <alignment horizontal="center"/>
      <protection/>
    </xf>
    <xf numFmtId="0" fontId="15" fillId="0" borderId="18" xfId="60" applyFont="1" applyFill="1" applyBorder="1" applyAlignment="1">
      <alignment horizontal="right"/>
      <protection/>
    </xf>
    <xf numFmtId="0" fontId="15" fillId="0" borderId="17" xfId="60" applyFont="1" applyFill="1" applyBorder="1" applyAlignment="1">
      <alignment horizontal="right"/>
      <protection/>
    </xf>
    <xf numFmtId="0" fontId="18" fillId="0" borderId="17" xfId="60" applyFont="1" applyBorder="1" applyAlignment="1">
      <alignment horizontal="center" vertical="center"/>
      <protection/>
    </xf>
    <xf numFmtId="0" fontId="17" fillId="0" borderId="3" xfId="60" applyFont="1" applyBorder="1" applyAlignment="1">
      <alignment horizontal="center"/>
      <protection/>
    </xf>
    <xf numFmtId="0" fontId="17" fillId="0" borderId="13" xfId="60" applyFont="1" applyBorder="1" applyAlignment="1">
      <alignment horizontal="center"/>
      <protection/>
    </xf>
    <xf numFmtId="0" fontId="17" fillId="0" borderId="2" xfId="60" applyFont="1" applyBorder="1" applyAlignment="1">
      <alignment horizontal="center"/>
      <protection/>
    </xf>
    <xf numFmtId="174" fontId="8" fillId="0" borderId="19" xfId="60" applyNumberFormat="1" applyFont="1" applyBorder="1" applyAlignment="1">
      <alignment horizontal="center" vertical="center"/>
      <protection/>
    </xf>
    <xf numFmtId="174" fontId="8" fillId="0" borderId="16" xfId="60" applyNumberFormat="1" applyFont="1" applyBorder="1" applyAlignment="1">
      <alignment horizontal="center" vertical="center"/>
      <protection/>
    </xf>
    <xf numFmtId="174" fontId="8" fillId="0" borderId="20" xfId="60" applyNumberFormat="1" applyFont="1" applyBorder="1" applyAlignment="1">
      <alignment horizontal="center" vertical="center"/>
      <protection/>
    </xf>
    <xf numFmtId="174" fontId="8" fillId="0" borderId="18" xfId="60" applyNumberFormat="1" applyFont="1" applyBorder="1" applyAlignment="1">
      <alignment horizontal="center" vertical="center"/>
      <protection/>
    </xf>
    <xf numFmtId="174" fontId="8" fillId="0" borderId="17" xfId="60" applyNumberFormat="1" applyFont="1" applyBorder="1" applyAlignment="1">
      <alignment horizontal="center" vertical="center"/>
      <protection/>
    </xf>
    <xf numFmtId="174" fontId="8" fillId="0" borderId="21" xfId="60" applyNumberFormat="1" applyFont="1" applyBorder="1" applyAlignment="1">
      <alignment horizontal="center" vertical="center"/>
      <protection/>
    </xf>
    <xf numFmtId="174" fontId="8" fillId="0" borderId="15" xfId="60" applyNumberFormat="1" applyFont="1" applyBorder="1" applyAlignment="1">
      <alignment horizontal="center" vertical="center"/>
      <protection/>
    </xf>
    <xf numFmtId="174" fontId="8" fillId="0" borderId="14" xfId="60" applyNumberFormat="1" applyFont="1" applyBorder="1" applyAlignment="1">
      <alignment horizontal="center" vertical="center"/>
      <protection/>
    </xf>
    <xf numFmtId="174" fontId="6" fillId="0" borderId="19" xfId="60" applyNumberFormat="1" applyFont="1" applyBorder="1" applyAlignment="1">
      <alignment horizontal="center" vertical="center"/>
      <protection/>
    </xf>
    <xf numFmtId="174" fontId="6" fillId="0" borderId="16" xfId="60" applyNumberFormat="1" applyFont="1" applyBorder="1" applyAlignment="1">
      <alignment horizontal="center" vertical="center"/>
      <protection/>
    </xf>
    <xf numFmtId="174" fontId="6" fillId="0" borderId="20" xfId="60" applyNumberFormat="1" applyFont="1" applyBorder="1" applyAlignment="1">
      <alignment horizontal="center" vertical="center"/>
      <protection/>
    </xf>
    <xf numFmtId="174" fontId="6" fillId="0" borderId="18" xfId="60" applyNumberFormat="1" applyFont="1" applyBorder="1" applyAlignment="1">
      <alignment horizontal="center" vertical="center"/>
      <protection/>
    </xf>
    <xf numFmtId="174" fontId="6" fillId="0" borderId="17" xfId="60" applyNumberFormat="1" applyFont="1" applyBorder="1" applyAlignment="1">
      <alignment horizontal="center" vertical="center"/>
      <protection/>
    </xf>
    <xf numFmtId="174" fontId="6" fillId="0" borderId="21" xfId="60" applyNumberFormat="1" applyFont="1" applyBorder="1" applyAlignment="1">
      <alignment horizontal="center" vertical="center"/>
      <protection/>
    </xf>
    <xf numFmtId="0" fontId="16" fillId="0" borderId="1" xfId="60" applyFont="1" applyBorder="1" applyAlignment="1">
      <alignment horizontal="center"/>
      <protection/>
    </xf>
    <xf numFmtId="0" fontId="16" fillId="9" borderId="0" xfId="60" applyFont="1" applyFill="1" applyAlignment="1">
      <alignment horizontal="center"/>
      <protection/>
    </xf>
    <xf numFmtId="0" fontId="16" fillId="0" borderId="22" xfId="60" applyFont="1" applyBorder="1" applyAlignment="1">
      <alignment horizontal="center"/>
      <protection/>
    </xf>
    <xf numFmtId="0" fontId="16" fillId="0" borderId="0" xfId="60" applyFont="1" applyBorder="1" applyAlignment="1">
      <alignment horizontal="center"/>
      <protection/>
    </xf>
    <xf numFmtId="0" fontId="16" fillId="0" borderId="23" xfId="60" applyFont="1" applyBorder="1" applyAlignment="1">
      <alignment horizontal="center"/>
      <protection/>
    </xf>
    <xf numFmtId="176" fontId="13" fillId="0" borderId="16" xfId="60" applyNumberFormat="1" applyFont="1" applyBorder="1" applyAlignment="1">
      <alignment horizontal="left" vertical="center" wrapText="1"/>
      <protection/>
    </xf>
    <xf numFmtId="176" fontId="13" fillId="12" borderId="3" xfId="60" applyNumberFormat="1" applyFont="1" applyFill="1" applyBorder="1" applyAlignment="1">
      <alignment horizontal="center"/>
      <protection/>
    </xf>
    <xf numFmtId="176" fontId="13" fillId="12" borderId="13" xfId="60" applyNumberFormat="1" applyFont="1" applyFill="1" applyBorder="1" applyAlignment="1">
      <alignment horizontal="center"/>
      <protection/>
    </xf>
    <xf numFmtId="176" fontId="13" fillId="12" borderId="2" xfId="60" applyNumberFormat="1" applyFont="1" applyFill="1" applyBorder="1" applyAlignment="1">
      <alignment horizontal="center"/>
      <protection/>
    </xf>
    <xf numFmtId="175" fontId="13" fillId="12" borderId="3" xfId="60" applyNumberFormat="1" applyFont="1" applyFill="1" applyBorder="1" applyAlignment="1">
      <alignment horizontal="center"/>
      <protection/>
    </xf>
    <xf numFmtId="175" fontId="13" fillId="12" borderId="13" xfId="60" applyNumberFormat="1" applyFont="1" applyFill="1" applyBorder="1" applyAlignment="1">
      <alignment horizontal="center"/>
      <protection/>
    </xf>
    <xf numFmtId="175" fontId="13" fillId="12" borderId="2" xfId="60" applyNumberFormat="1" applyFont="1" applyFill="1" applyBorder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14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175" fontId="13" fillId="0" borderId="3" xfId="60" applyNumberFormat="1" applyFont="1" applyFill="1" applyBorder="1" applyAlignment="1">
      <alignment horizontal="center"/>
      <protection/>
    </xf>
    <xf numFmtId="175" fontId="13" fillId="0" borderId="13" xfId="60" applyNumberFormat="1" applyFont="1" applyFill="1" applyBorder="1" applyAlignment="1">
      <alignment horizontal="center"/>
      <protection/>
    </xf>
    <xf numFmtId="175" fontId="13" fillId="0" borderId="2" xfId="60" applyNumberFormat="1" applyFont="1" applyFill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2" xfId="34"/>
    <cellStyle name="S14" xfId="35"/>
    <cellStyle name="S16" xfId="36"/>
    <cellStyle name="S17" xfId="37"/>
    <cellStyle name="S18" xfId="38"/>
    <cellStyle name="S2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view="pageBreakPreview" zoomScale="97" zoomScaleSheetLayoutView="97" zoomScalePageLayoutView="0" workbookViewId="0" topLeftCell="A23">
      <selection activeCell="F30" sqref="F30"/>
    </sheetView>
  </sheetViews>
  <sheetFormatPr defaultColWidth="9.140625" defaultRowHeight="15" outlineLevelRow="2" outlineLevelCol="1"/>
  <cols>
    <col min="1" max="1" width="5.00390625" style="70" customWidth="1"/>
    <col min="2" max="2" width="15.140625" style="73" customWidth="1"/>
    <col min="3" max="3" width="47.28125" style="74" customWidth="1"/>
    <col min="4" max="4" width="10.57421875" style="75" customWidth="1"/>
    <col min="5" max="5" width="12.28125" style="75" customWidth="1"/>
    <col min="6" max="6" width="14.28125" style="75" customWidth="1"/>
    <col min="7" max="7" width="9.28125" style="75" customWidth="1"/>
    <col min="8" max="8" width="13.28125" style="75" customWidth="1"/>
    <col min="9" max="9" width="10.57421875" style="31" customWidth="1"/>
    <col min="10" max="10" width="12.57421875" style="31" customWidth="1"/>
    <col min="11" max="11" width="13.7109375" style="31" customWidth="1" outlineLevel="1"/>
    <col min="12" max="12" width="10.140625" style="31" customWidth="1" outlineLevel="1"/>
    <col min="13" max="13" width="12.28125" style="31" customWidth="1" outlineLevel="1"/>
    <col min="14" max="14" width="9.140625" style="31" customWidth="1" outlineLevel="1"/>
    <col min="15" max="16384" width="9.140625" style="31" customWidth="1"/>
  </cols>
  <sheetData>
    <row r="1" spans="1:8" ht="23.25" customHeight="1">
      <c r="A1" s="131" t="s">
        <v>99</v>
      </c>
      <c r="B1" s="131"/>
      <c r="C1" s="131"/>
      <c r="D1" s="131"/>
      <c r="E1" s="131"/>
      <c r="F1" s="131"/>
      <c r="G1" s="131"/>
      <c r="H1" s="131"/>
    </row>
    <row r="2" spans="1:9" ht="41.25" customHeight="1">
      <c r="A2" s="132" t="s">
        <v>97</v>
      </c>
      <c r="B2" s="132"/>
      <c r="C2" s="132"/>
      <c r="D2" s="132"/>
      <c r="E2" s="132"/>
      <c r="F2" s="132"/>
      <c r="G2" s="132"/>
      <c r="H2" s="132"/>
      <c r="I2" s="32"/>
    </row>
    <row r="3" spans="1:8" s="33" customFormat="1" ht="25.5" customHeight="1">
      <c r="A3" s="128" t="s">
        <v>0</v>
      </c>
      <c r="B3" s="133" t="s">
        <v>1</v>
      </c>
      <c r="C3" s="128" t="s">
        <v>2</v>
      </c>
      <c r="D3" s="134" t="s">
        <v>48</v>
      </c>
      <c r="E3" s="134"/>
      <c r="F3" s="134"/>
      <c r="G3" s="134"/>
      <c r="H3" s="128" t="s">
        <v>3</v>
      </c>
    </row>
    <row r="4" spans="1:8" s="33" customFormat="1" ht="13.5">
      <c r="A4" s="128"/>
      <c r="B4" s="133"/>
      <c r="C4" s="128"/>
      <c r="D4" s="128" t="s">
        <v>4</v>
      </c>
      <c r="E4" s="128" t="s">
        <v>5</v>
      </c>
      <c r="F4" s="128" t="s">
        <v>6</v>
      </c>
      <c r="G4" s="128" t="s">
        <v>7</v>
      </c>
      <c r="H4" s="128"/>
    </row>
    <row r="5" spans="1:8" s="33" customFormat="1" ht="13.5">
      <c r="A5" s="128"/>
      <c r="B5" s="133"/>
      <c r="C5" s="128"/>
      <c r="D5" s="128"/>
      <c r="E5" s="128"/>
      <c r="F5" s="128"/>
      <c r="G5" s="128"/>
      <c r="H5" s="128"/>
    </row>
    <row r="6" spans="1:13" s="33" customFormat="1" ht="26.25" customHeight="1">
      <c r="A6" s="128"/>
      <c r="B6" s="133"/>
      <c r="C6" s="128"/>
      <c r="D6" s="128"/>
      <c r="E6" s="128"/>
      <c r="F6" s="128"/>
      <c r="G6" s="128"/>
      <c r="H6" s="128"/>
      <c r="I6" s="33" t="s">
        <v>43</v>
      </c>
      <c r="J6" s="33" t="s">
        <v>93</v>
      </c>
      <c r="K6" s="33" t="s">
        <v>94</v>
      </c>
      <c r="L6" s="33" t="s">
        <v>76</v>
      </c>
      <c r="M6" s="33" t="s">
        <v>77</v>
      </c>
    </row>
    <row r="7" spans="1:8" ht="15" customHeight="1">
      <c r="A7" s="87">
        <v>1</v>
      </c>
      <c r="B7" s="34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</row>
    <row r="8" spans="1:13" s="37" customFormat="1" ht="40.5" customHeight="1">
      <c r="A8" s="111">
        <v>1</v>
      </c>
      <c r="B8" s="112" t="s">
        <v>86</v>
      </c>
      <c r="C8" s="38" t="s">
        <v>68</v>
      </c>
      <c r="D8" s="113">
        <v>6.98</v>
      </c>
      <c r="E8" s="113">
        <v>21.78</v>
      </c>
      <c r="F8" s="113">
        <v>2888.03</v>
      </c>
      <c r="G8" s="57"/>
      <c r="H8" s="114">
        <v>2916.7900000000004</v>
      </c>
      <c r="I8" s="77">
        <f>(D8+E8)*D38</f>
        <v>209.04543939910752</v>
      </c>
      <c r="J8" s="77">
        <f>F8*F38</f>
        <v>11921.748938629396</v>
      </c>
      <c r="K8" s="116">
        <f>I8+J8</f>
        <v>12130.794378028504</v>
      </c>
      <c r="L8" s="31">
        <f>K8*1.18</f>
        <v>14314.337366073634</v>
      </c>
      <c r="M8" s="52">
        <f>K8*L19</f>
        <v>0</v>
      </c>
    </row>
    <row r="9" spans="1:13" s="37" customFormat="1" ht="40.5" customHeight="1">
      <c r="A9" s="111">
        <v>2</v>
      </c>
      <c r="B9" s="112" t="s">
        <v>87</v>
      </c>
      <c r="C9" s="38" t="s">
        <v>69</v>
      </c>
      <c r="D9" s="113">
        <v>2.44</v>
      </c>
      <c r="E9" s="113">
        <v>26.38</v>
      </c>
      <c r="F9" s="113"/>
      <c r="G9" s="57"/>
      <c r="H9" s="114">
        <v>28.82</v>
      </c>
      <c r="I9" s="77">
        <f>(D9+E9)*D38</f>
        <v>209.48155644931427</v>
      </c>
      <c r="J9" s="77">
        <f>F9*F38</f>
        <v>0</v>
      </c>
      <c r="K9" s="31">
        <f>I9+J9</f>
        <v>209.48155644931427</v>
      </c>
      <c r="L9" s="31">
        <f>K9*1.18</f>
        <v>247.1882366101908</v>
      </c>
      <c r="M9" s="52">
        <f>K9*L19</f>
        <v>0</v>
      </c>
    </row>
    <row r="10" spans="1:13" s="37" customFormat="1" ht="40.5" customHeight="1">
      <c r="A10" s="111">
        <v>3</v>
      </c>
      <c r="B10" s="112" t="s">
        <v>88</v>
      </c>
      <c r="C10" s="38" t="s">
        <v>70</v>
      </c>
      <c r="D10" s="113">
        <v>47.48</v>
      </c>
      <c r="E10" s="113">
        <v>59.13</v>
      </c>
      <c r="F10" s="113">
        <v>0.75</v>
      </c>
      <c r="G10" s="57"/>
      <c r="H10" s="114">
        <v>107.36</v>
      </c>
      <c r="I10" s="77">
        <f>(D10+E10)*D38</f>
        <v>774.9073120423801</v>
      </c>
      <c r="J10" s="77">
        <f>F10*F38</f>
        <v>3.0959898976021876</v>
      </c>
      <c r="K10" s="116">
        <f>I10+J10</f>
        <v>778.0033019399823</v>
      </c>
      <c r="L10" s="31">
        <f>K10*1.18</f>
        <v>918.0438962891791</v>
      </c>
      <c r="M10" s="52">
        <f>K10*L19</f>
        <v>0</v>
      </c>
    </row>
    <row r="11" spans="1:13" s="109" customFormat="1" ht="31.5" customHeight="1">
      <c r="A11" s="111">
        <v>4</v>
      </c>
      <c r="B11" s="112" t="s">
        <v>74</v>
      </c>
      <c r="C11" s="38" t="s">
        <v>92</v>
      </c>
      <c r="D11" s="113">
        <v>65.845</v>
      </c>
      <c r="E11" s="113"/>
      <c r="F11" s="113"/>
      <c r="G11" s="57"/>
      <c r="H11" s="114">
        <v>65.845</v>
      </c>
      <c r="I11" s="77">
        <f>(D11+E11)*D38</f>
        <v>478.6021195144031</v>
      </c>
      <c r="J11" s="77">
        <f>F11*F38</f>
        <v>0</v>
      </c>
      <c r="K11" s="117">
        <f>I11+J11</f>
        <v>478.6021195144031</v>
      </c>
      <c r="L11" s="33">
        <f>K11*1.18</f>
        <v>564.7505010269956</v>
      </c>
      <c r="M11" s="115">
        <f>K11*L19</f>
        <v>0</v>
      </c>
    </row>
    <row r="12" spans="1:13" s="37" customFormat="1" ht="30" customHeight="1">
      <c r="A12" s="87"/>
      <c r="B12" s="39"/>
      <c r="C12" s="40" t="s">
        <v>49</v>
      </c>
      <c r="D12" s="41">
        <v>122.745</v>
      </c>
      <c r="E12" s="41">
        <v>107.28999999999999</v>
      </c>
      <c r="F12" s="41">
        <v>2888.78</v>
      </c>
      <c r="G12" s="41">
        <v>0</v>
      </c>
      <c r="H12" s="41">
        <v>3118.8150000000005</v>
      </c>
      <c r="M12" s="81"/>
    </row>
    <row r="13" spans="1:13" ht="18" customHeight="1">
      <c r="A13" s="42"/>
      <c r="B13" s="43"/>
      <c r="C13" s="85"/>
      <c r="D13" s="44"/>
      <c r="E13" s="44"/>
      <c r="F13" s="45"/>
      <c r="G13" s="45"/>
      <c r="H13" s="44"/>
      <c r="M13" s="80"/>
    </row>
    <row r="14" spans="1:13" ht="22.5" customHeight="1">
      <c r="A14" s="129" t="s">
        <v>8</v>
      </c>
      <c r="B14" s="130"/>
      <c r="C14" s="130"/>
      <c r="D14" s="130"/>
      <c r="E14" s="130"/>
      <c r="F14" s="130"/>
      <c r="G14" s="130"/>
      <c r="H14" s="130"/>
      <c r="M14" s="80"/>
    </row>
    <row r="15" spans="1:13" s="37" customFormat="1" ht="35.25" customHeight="1">
      <c r="A15" s="84">
        <v>4</v>
      </c>
      <c r="B15" s="46" t="s">
        <v>58</v>
      </c>
      <c r="C15" s="47" t="s">
        <v>59</v>
      </c>
      <c r="D15" s="48">
        <f>D12*(2.9%*0.85)*0</f>
        <v>0</v>
      </c>
      <c r="E15" s="48">
        <f>E12*(2.9%*0.85)*0</f>
        <v>0</v>
      </c>
      <c r="F15" s="49"/>
      <c r="G15" s="49"/>
      <c r="H15" s="48">
        <f>E15+D15</f>
        <v>0</v>
      </c>
      <c r="M15" s="81"/>
    </row>
    <row r="16" spans="1:13" s="37" customFormat="1" ht="38.25" customHeight="1" hidden="1" outlineLevel="1">
      <c r="A16" s="84">
        <v>5</v>
      </c>
      <c r="B16" s="86" t="s">
        <v>64</v>
      </c>
      <c r="C16" s="38" t="s">
        <v>71</v>
      </c>
      <c r="D16" s="48"/>
      <c r="E16" s="48"/>
      <c r="F16" s="49"/>
      <c r="G16" s="49"/>
      <c r="H16" s="48">
        <f>E16+D16</f>
        <v>0</v>
      </c>
      <c r="I16" s="37">
        <f>D16*F34</f>
        <v>0</v>
      </c>
      <c r="K16" s="78">
        <f>I16+J16</f>
        <v>0</v>
      </c>
      <c r="L16" s="37">
        <f>K16*1.18</f>
        <v>0</v>
      </c>
      <c r="M16" s="81">
        <f>K16*L19</f>
        <v>0</v>
      </c>
    </row>
    <row r="17" spans="1:13" s="37" customFormat="1" ht="39" customHeight="1" hidden="1" outlineLevel="1">
      <c r="A17" s="84">
        <v>6</v>
      </c>
      <c r="B17" s="86" t="s">
        <v>72</v>
      </c>
      <c r="C17" s="47" t="s">
        <v>73</v>
      </c>
      <c r="D17" s="48"/>
      <c r="E17" s="48"/>
      <c r="F17" s="49"/>
      <c r="G17" s="49"/>
      <c r="H17" s="48">
        <f>E17+D17</f>
        <v>0</v>
      </c>
      <c r="I17" s="37">
        <f>D17*F34</f>
        <v>0</v>
      </c>
      <c r="K17" s="78">
        <f>I17+J17</f>
        <v>0</v>
      </c>
      <c r="L17" s="37">
        <f>K17*1.18</f>
        <v>0</v>
      </c>
      <c r="M17" s="81">
        <f>K17*L19</f>
        <v>0</v>
      </c>
    </row>
    <row r="18" spans="1:13" s="37" customFormat="1" ht="30.75" customHeight="1" collapsed="1">
      <c r="A18" s="87"/>
      <c r="B18" s="39"/>
      <c r="C18" s="47" t="s">
        <v>9</v>
      </c>
      <c r="D18" s="48">
        <f>D15+D16+D17</f>
        <v>0</v>
      </c>
      <c r="E18" s="48">
        <f>E15</f>
        <v>0</v>
      </c>
      <c r="F18" s="49"/>
      <c r="G18" s="49"/>
      <c r="H18" s="48">
        <f>D18+E18+F18+G18</f>
        <v>0</v>
      </c>
      <c r="J18" s="77"/>
      <c r="K18" s="118">
        <f>SUM(K8:K17)</f>
        <v>13596.881355932204</v>
      </c>
      <c r="L18" s="37">
        <f>SUM(L8:L17)</f>
        <v>16044.32</v>
      </c>
      <c r="M18" s="82">
        <f>SUM(M8:M17)</f>
        <v>0</v>
      </c>
    </row>
    <row r="19" spans="1:12" s="37" customFormat="1" ht="29.25" customHeight="1">
      <c r="A19" s="87"/>
      <c r="B19" s="39"/>
      <c r="C19" s="40" t="s">
        <v>10</v>
      </c>
      <c r="D19" s="50">
        <f>D18+D12</f>
        <v>122.745</v>
      </c>
      <c r="E19" s="50">
        <f>E18+E12</f>
        <v>107.28999999999999</v>
      </c>
      <c r="F19" s="51">
        <f>F18+F12</f>
        <v>2888.78</v>
      </c>
      <c r="G19" s="51">
        <f>G18+G12</f>
        <v>0</v>
      </c>
      <c r="H19" s="50">
        <f>H18+H12</f>
        <v>3118.8150000000005</v>
      </c>
      <c r="I19" s="52"/>
      <c r="K19" s="37" t="s">
        <v>75</v>
      </c>
      <c r="L19" s="83"/>
    </row>
    <row r="20" spans="1:8" s="53" customFormat="1" ht="19.5" customHeight="1">
      <c r="A20" s="129" t="s">
        <v>11</v>
      </c>
      <c r="B20" s="130"/>
      <c r="C20" s="130"/>
      <c r="D20" s="130"/>
      <c r="E20" s="130"/>
      <c r="F20" s="130"/>
      <c r="G20" s="130"/>
      <c r="H20" s="130"/>
    </row>
    <row r="21" spans="1:8" s="37" customFormat="1" ht="36" customHeight="1" hidden="1" outlineLevel="1">
      <c r="A21" s="84">
        <v>5</v>
      </c>
      <c r="B21" s="47" t="s">
        <v>16</v>
      </c>
      <c r="C21" s="47" t="s">
        <v>15</v>
      </c>
      <c r="D21" s="54"/>
      <c r="E21" s="55"/>
      <c r="F21" s="56"/>
      <c r="G21" s="56"/>
      <c r="H21" s="55">
        <f>G21</f>
        <v>0</v>
      </c>
    </row>
    <row r="22" spans="1:8" s="37" customFormat="1" ht="36" customHeight="1" hidden="1" collapsed="1">
      <c r="A22" s="84">
        <v>6</v>
      </c>
      <c r="B22" s="36" t="s">
        <v>17</v>
      </c>
      <c r="C22" s="47" t="s">
        <v>18</v>
      </c>
      <c r="D22" s="54"/>
      <c r="E22" s="55"/>
      <c r="F22" s="56"/>
      <c r="G22" s="56"/>
      <c r="H22" s="55">
        <f>G22</f>
        <v>0</v>
      </c>
    </row>
    <row r="23" spans="1:8" s="37" customFormat="1" ht="33" customHeight="1">
      <c r="A23" s="84">
        <v>7</v>
      </c>
      <c r="B23" s="46" t="s">
        <v>62</v>
      </c>
      <c r="C23" s="38" t="s">
        <v>60</v>
      </c>
      <c r="D23" s="57">
        <f>D19*2.5%*0</f>
        <v>0</v>
      </c>
      <c r="E23" s="57">
        <f>E19*2.5%*0</f>
        <v>0</v>
      </c>
      <c r="F23" s="57"/>
      <c r="G23" s="58">
        <v>0</v>
      </c>
      <c r="H23" s="48">
        <f>D23+E23+F23+G23</f>
        <v>0</v>
      </c>
    </row>
    <row r="24" spans="1:8" s="37" customFormat="1" ht="24" customHeight="1">
      <c r="A24" s="87"/>
      <c r="B24" s="39"/>
      <c r="C24" s="47" t="s">
        <v>12</v>
      </c>
      <c r="D24" s="48">
        <f>SUM(D21:D23)</f>
        <v>0</v>
      </c>
      <c r="E24" s="48">
        <f>SUM(E21:E23)</f>
        <v>0</v>
      </c>
      <c r="F24" s="49"/>
      <c r="G24" s="48">
        <f>SUM(G21:G23)</f>
        <v>0</v>
      </c>
      <c r="H24" s="48">
        <f>G24+D24+E24</f>
        <v>0</v>
      </c>
    </row>
    <row r="25" spans="1:9" ht="31.5" customHeight="1" hidden="1" outlineLevel="2">
      <c r="A25" s="42"/>
      <c r="B25" s="43"/>
      <c r="C25" s="85" t="s">
        <v>13</v>
      </c>
      <c r="D25" s="59">
        <f>D24+D19</f>
        <v>122.745</v>
      </c>
      <c r="E25" s="59">
        <f>E19+E24</f>
        <v>107.28999999999999</v>
      </c>
      <c r="F25" s="59">
        <f>F19+F24</f>
        <v>2888.78</v>
      </c>
      <c r="G25" s="59">
        <f>G19+G24</f>
        <v>0</v>
      </c>
      <c r="H25" s="59">
        <f>G25+D25+E25+F25</f>
        <v>3118.815</v>
      </c>
      <c r="I25" s="60"/>
    </row>
    <row r="26" spans="1:8" s="53" customFormat="1" ht="18.75" customHeight="1" hidden="1" outlineLevel="1" collapsed="1">
      <c r="A26" s="129" t="s">
        <v>14</v>
      </c>
      <c r="B26" s="130"/>
      <c r="C26" s="130"/>
      <c r="D26" s="130"/>
      <c r="E26" s="130"/>
      <c r="F26" s="130"/>
      <c r="G26" s="130"/>
      <c r="H26" s="130"/>
    </row>
    <row r="27" spans="1:8" ht="47.25" customHeight="1" hidden="1" outlineLevel="1">
      <c r="A27" s="35"/>
      <c r="B27" s="38"/>
      <c r="C27" s="85"/>
      <c r="D27" s="59"/>
      <c r="E27" s="59"/>
      <c r="F27" s="59"/>
      <c r="G27" s="59"/>
      <c r="H27" s="59"/>
    </row>
    <row r="28" spans="1:8" s="64" customFormat="1" ht="31.5" customHeight="1" collapsed="1">
      <c r="A28" s="61"/>
      <c r="B28" s="62"/>
      <c r="C28" s="40" t="s">
        <v>20</v>
      </c>
      <c r="D28" s="50">
        <f>D24+D19</f>
        <v>122.745</v>
      </c>
      <c r="E28" s="50">
        <f>E24+E19</f>
        <v>107.28999999999999</v>
      </c>
      <c r="F28" s="63">
        <f>F24+F19</f>
        <v>2888.78</v>
      </c>
      <c r="G28" s="50">
        <f>G24+G19</f>
        <v>0</v>
      </c>
      <c r="H28" s="50">
        <f>H24+H19</f>
        <v>3118.8150000000005</v>
      </c>
    </row>
    <row r="29" spans="1:8" s="37" customFormat="1" ht="135" customHeight="1">
      <c r="A29" s="87">
        <v>8</v>
      </c>
      <c r="B29" s="88" t="s">
        <v>105</v>
      </c>
      <c r="C29" s="119" t="s">
        <v>106</v>
      </c>
      <c r="D29" s="65">
        <f>D28*6.92</f>
        <v>849.3954</v>
      </c>
      <c r="E29" s="65">
        <f>E28*6.92</f>
        <v>742.4467999999999</v>
      </c>
      <c r="F29" s="66">
        <f>F28*3.93</f>
        <v>11352.905400000001</v>
      </c>
      <c r="G29" s="65">
        <f>G28*15.73</f>
        <v>0</v>
      </c>
      <c r="H29" s="65">
        <f>G29+E29+D29+F29</f>
        <v>12944.747600000002</v>
      </c>
    </row>
    <row r="30" spans="1:12" s="37" customFormat="1" ht="33" customHeight="1">
      <c r="A30" s="84">
        <v>9</v>
      </c>
      <c r="B30" s="39"/>
      <c r="C30" s="47" t="s">
        <v>95</v>
      </c>
      <c r="D30" s="66">
        <f>D29*20%</f>
        <v>169.87908000000002</v>
      </c>
      <c r="E30" s="66">
        <f>E29*20%</f>
        <v>148.48936</v>
      </c>
      <c r="F30" s="66">
        <f>F29*20%</f>
        <v>2270.5810800000004</v>
      </c>
      <c r="G30" s="66">
        <f>G29*18%</f>
        <v>0</v>
      </c>
      <c r="H30" s="65">
        <f>G30+E30+D30+F30</f>
        <v>2588.9495200000006</v>
      </c>
      <c r="I30" s="67"/>
      <c r="J30" s="67"/>
      <c r="K30" s="67"/>
      <c r="L30" s="67"/>
    </row>
    <row r="31" spans="1:12" s="64" customFormat="1" ht="27" customHeight="1">
      <c r="A31" s="61">
        <v>10</v>
      </c>
      <c r="B31" s="62"/>
      <c r="C31" s="40" t="s">
        <v>19</v>
      </c>
      <c r="D31" s="41">
        <f>D30+D29</f>
        <v>1019.27448</v>
      </c>
      <c r="E31" s="41">
        <f>E30+E29</f>
        <v>890.93616</v>
      </c>
      <c r="F31" s="68">
        <f>F29+F30</f>
        <v>13623.486480000001</v>
      </c>
      <c r="G31" s="41">
        <f>G30+G29</f>
        <v>0</v>
      </c>
      <c r="H31" s="41">
        <f>D31+E31+G31+F31</f>
        <v>15533.69712</v>
      </c>
      <c r="I31" s="69"/>
      <c r="J31" s="69"/>
      <c r="K31" s="69"/>
      <c r="L31" s="69"/>
    </row>
    <row r="32" spans="2:12" ht="13.5" hidden="1" outlineLevel="1">
      <c r="B32" s="71"/>
      <c r="C32" s="71"/>
      <c r="D32" s="76"/>
      <c r="E32" s="76"/>
      <c r="F32" s="76"/>
      <c r="G32" s="76"/>
      <c r="H32" s="76"/>
      <c r="I32" s="72"/>
      <c r="J32" s="72"/>
      <c r="K32" s="72"/>
      <c r="L32" s="72"/>
    </row>
    <row r="33" spans="2:8" ht="13.5" hidden="1" outlineLevel="1">
      <c r="B33" s="71"/>
      <c r="C33" s="71"/>
      <c r="D33" s="71"/>
      <c r="E33" s="71"/>
      <c r="F33" s="76"/>
      <c r="G33" s="71"/>
      <c r="H33" s="107"/>
    </row>
    <row r="34" spans="2:8" ht="13.5" hidden="1" outlineLevel="1">
      <c r="B34" s="71"/>
      <c r="C34" s="71"/>
      <c r="D34" s="71"/>
      <c r="E34" s="71"/>
      <c r="F34" s="76"/>
      <c r="G34" s="71"/>
      <c r="H34" s="71"/>
    </row>
    <row r="35" spans="4:8" ht="13.5" collapsed="1">
      <c r="D35" s="108">
        <f>D31*H36</f>
        <v>1052.7800174433683</v>
      </c>
      <c r="E35" s="108">
        <f>E31*H36</f>
        <v>920.2229668947734</v>
      </c>
      <c r="F35" s="108">
        <f>F31*H36</f>
        <v>14071.317015661858</v>
      </c>
      <c r="G35" s="108"/>
      <c r="H35" s="108">
        <v>16044.32</v>
      </c>
    </row>
    <row r="36" spans="4:8" ht="13.5" hidden="1" outlineLevel="1">
      <c r="D36" s="108"/>
      <c r="E36" s="108"/>
      <c r="F36" s="108"/>
      <c r="G36" s="108"/>
      <c r="H36" s="76">
        <f>H35/H31</f>
        <v>1.0328719477440151</v>
      </c>
    </row>
    <row r="37" spans="4:8" ht="13.5" collapsed="1">
      <c r="D37" s="108"/>
      <c r="E37" s="108"/>
      <c r="F37" s="108"/>
      <c r="G37" s="108"/>
      <c r="H37" s="108"/>
    </row>
    <row r="38" spans="4:6" ht="13.5">
      <c r="D38" s="75">
        <f>(D35+E35)/1.18/(D12+E12)</f>
        <v>7.268617503446019</v>
      </c>
      <c r="F38" s="75">
        <f>F35/1.18/F12</f>
        <v>4.12798653013625</v>
      </c>
    </row>
  </sheetData>
  <sheetProtection/>
  <mergeCells count="14">
    <mergeCell ref="H3:H6"/>
    <mergeCell ref="D4:D6"/>
    <mergeCell ref="E4:E6"/>
    <mergeCell ref="F4:F6"/>
    <mergeCell ref="G4:G6"/>
    <mergeCell ref="A14:H14"/>
    <mergeCell ref="A20:H20"/>
    <mergeCell ref="A26:H26"/>
    <mergeCell ref="A1:H1"/>
    <mergeCell ref="A2:H2"/>
    <mergeCell ref="A3:A6"/>
    <mergeCell ref="B3:B6"/>
    <mergeCell ref="C3:C6"/>
    <mergeCell ref="D3:G3"/>
  </mergeCells>
  <printOptions horizontalCentered="1"/>
  <pageMargins left="0" right="0" top="0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tabSelected="1" view="pageBreakPreview" zoomScale="60" zoomScalePageLayoutView="0" workbookViewId="0" topLeftCell="A1">
      <selection activeCell="K13" sqref="K13"/>
    </sheetView>
  </sheetViews>
  <sheetFormatPr defaultColWidth="9.140625" defaultRowHeight="15"/>
  <cols>
    <col min="2" max="2" width="55.140625" style="0" customWidth="1"/>
    <col min="3" max="3" width="8.421875" style="0" customWidth="1"/>
    <col min="4" max="4" width="13.28125" style="0" customWidth="1"/>
    <col min="5" max="5" width="24.57421875" style="0" customWidth="1"/>
    <col min="6" max="6" width="11.00390625" style="0" bestFit="1" customWidth="1"/>
    <col min="7" max="7" width="7.00390625" style="0" customWidth="1"/>
  </cols>
  <sheetData>
    <row r="1" spans="1:5" ht="17.25">
      <c r="A1" s="137" t="s">
        <v>80</v>
      </c>
      <c r="B1" s="137"/>
      <c r="C1" s="137"/>
      <c r="D1" s="137"/>
      <c r="E1" s="137"/>
    </row>
    <row r="2" spans="1:5" ht="15" customHeight="1">
      <c r="A2" s="138" t="s">
        <v>98</v>
      </c>
      <c r="B2" s="138"/>
      <c r="C2" s="138"/>
      <c r="D2" s="138"/>
      <c r="E2" s="138"/>
    </row>
    <row r="3" spans="1:5" ht="37.5" customHeight="1">
      <c r="A3" s="139" t="s">
        <v>111</v>
      </c>
      <c r="B3" s="139"/>
      <c r="C3" s="139"/>
      <c r="D3" s="139"/>
      <c r="E3" s="139"/>
    </row>
    <row r="4" spans="1:5" ht="15">
      <c r="A4" s="140" t="s">
        <v>55</v>
      </c>
      <c r="B4" s="142" t="s">
        <v>56</v>
      </c>
      <c r="C4" s="91" t="s">
        <v>81</v>
      </c>
      <c r="D4" s="144" t="s">
        <v>82</v>
      </c>
      <c r="E4" s="146" t="s">
        <v>57</v>
      </c>
    </row>
    <row r="5" spans="1:5" ht="15">
      <c r="A5" s="141"/>
      <c r="B5" s="143"/>
      <c r="C5" s="92" t="s">
        <v>83</v>
      </c>
      <c r="D5" s="145"/>
      <c r="E5" s="147"/>
    </row>
    <row r="6" spans="1:5" ht="15">
      <c r="A6" s="23">
        <v>1</v>
      </c>
      <c r="B6" s="24">
        <v>2</v>
      </c>
      <c r="C6" s="24">
        <v>3</v>
      </c>
      <c r="D6" s="24">
        <v>4</v>
      </c>
      <c r="E6" s="25">
        <v>5</v>
      </c>
    </row>
    <row r="7" spans="1:5" ht="59.25" customHeight="1">
      <c r="A7" s="93">
        <v>1</v>
      </c>
      <c r="B7" s="94" t="s">
        <v>122</v>
      </c>
      <c r="C7" s="95" t="s">
        <v>81</v>
      </c>
      <c r="D7" s="95">
        <v>1</v>
      </c>
      <c r="E7" s="96">
        <v>16044.32</v>
      </c>
    </row>
    <row r="8" spans="1:5" ht="15" customHeight="1">
      <c r="A8" s="93"/>
      <c r="B8" s="94" t="s">
        <v>84</v>
      </c>
      <c r="C8" s="95"/>
      <c r="D8" s="95"/>
      <c r="E8" s="97"/>
    </row>
    <row r="9" spans="1:5" ht="39" customHeight="1">
      <c r="A9" s="90"/>
      <c r="B9" s="98" t="s">
        <v>110</v>
      </c>
      <c r="C9" s="26"/>
      <c r="D9" s="95"/>
      <c r="E9" s="99">
        <v>13370.266666666666</v>
      </c>
    </row>
    <row r="10" spans="1:6" ht="39" customHeight="1">
      <c r="A10" s="90"/>
      <c r="B10" s="27" t="s">
        <v>107</v>
      </c>
      <c r="C10" s="28"/>
      <c r="D10" s="95"/>
      <c r="E10" s="99">
        <v>2674.0533333333337</v>
      </c>
      <c r="F10" s="29"/>
    </row>
    <row r="11" spans="1:7" ht="46.5" customHeight="1">
      <c r="A11" s="100"/>
      <c r="B11" s="30" t="s">
        <v>61</v>
      </c>
      <c r="C11" s="79"/>
      <c r="D11" s="101"/>
      <c r="E11" s="99">
        <v>16044.32</v>
      </c>
      <c r="F11" s="102"/>
      <c r="G11" s="102"/>
    </row>
    <row r="12" spans="1:5" ht="73.5" customHeight="1">
      <c r="A12" s="135" t="s">
        <v>79</v>
      </c>
      <c r="B12" s="135"/>
      <c r="C12" s="135"/>
      <c r="D12" s="135"/>
      <c r="E12" s="135"/>
    </row>
    <row r="13" spans="1:5" ht="90" customHeight="1">
      <c r="A13" s="136" t="s">
        <v>85</v>
      </c>
      <c r="B13" s="136"/>
      <c r="C13" s="136"/>
      <c r="D13" s="136"/>
      <c r="E13" s="136"/>
    </row>
  </sheetData>
  <sheetProtection/>
  <mergeCells count="9">
    <mergeCell ref="A12:E12"/>
    <mergeCell ref="A13:E13"/>
    <mergeCell ref="A1:E1"/>
    <mergeCell ref="A2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4"/>
  <sheetViews>
    <sheetView view="pageBreakPreview" zoomScale="120" zoomScaleSheetLayoutView="120" zoomScalePageLayoutView="0" workbookViewId="0" topLeftCell="A50">
      <selection activeCell="E39" sqref="E39"/>
    </sheetView>
  </sheetViews>
  <sheetFormatPr defaultColWidth="9.140625" defaultRowHeight="15" outlineLevelRow="2"/>
  <cols>
    <col min="13" max="13" width="11.00390625" style="0" customWidth="1"/>
  </cols>
  <sheetData>
    <row r="1" spans="1:1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87" t="s">
        <v>21</v>
      </c>
      <c r="M1" s="187"/>
    </row>
    <row r="2" spans="1:13" ht="14.25" customHeight="1">
      <c r="A2" s="188" t="s">
        <v>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5" ht="33.75" customHeight="1">
      <c r="A3" s="189" t="s">
        <v>96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"/>
      <c r="O3" s="2"/>
    </row>
    <row r="4" spans="1:15" s="89" customFormat="1" ht="12" customHeight="1">
      <c r="A4" s="190" t="s">
        <v>111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2"/>
      <c r="O4" s="22"/>
    </row>
    <row r="5" spans="1:13" s="20" customFormat="1" ht="3.7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  <c r="M5" s="19"/>
    </row>
    <row r="6" spans="1:13" ht="14.25" hidden="1" outlineLevel="1">
      <c r="A6" s="176" t="s">
        <v>36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"/>
    </row>
    <row r="7" spans="1:13" ht="14.25" hidden="1" outlineLevel="1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1"/>
    </row>
    <row r="8" spans="1:13" ht="14.25" hidden="1" outlineLevel="1">
      <c r="A8" s="177" t="s">
        <v>37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9"/>
      <c r="M8" s="1"/>
    </row>
    <row r="9" spans="1:13" ht="14.25" hidden="1" outlineLevel="1">
      <c r="A9" s="4">
        <f>POWER(1.101,1/12)</f>
        <v>1.008050470307311</v>
      </c>
      <c r="B9" s="4">
        <f aca="true" t="shared" si="0" ref="B9:L9">POWER(1.101,1/12)</f>
        <v>1.008050470307311</v>
      </c>
      <c r="C9" s="4">
        <f t="shared" si="0"/>
        <v>1.008050470307311</v>
      </c>
      <c r="D9" s="4">
        <f t="shared" si="0"/>
        <v>1.008050470307311</v>
      </c>
      <c r="E9" s="4">
        <f t="shared" si="0"/>
        <v>1.008050470307311</v>
      </c>
      <c r="F9" s="4">
        <f t="shared" si="0"/>
        <v>1.008050470307311</v>
      </c>
      <c r="G9" s="4">
        <f t="shared" si="0"/>
        <v>1.008050470307311</v>
      </c>
      <c r="H9" s="4">
        <f t="shared" si="0"/>
        <v>1.008050470307311</v>
      </c>
      <c r="I9" s="4">
        <f t="shared" si="0"/>
        <v>1.008050470307311</v>
      </c>
      <c r="J9" s="4">
        <f t="shared" si="0"/>
        <v>1.008050470307311</v>
      </c>
      <c r="K9" s="4">
        <f t="shared" si="0"/>
        <v>1.008050470307311</v>
      </c>
      <c r="L9" s="4">
        <f t="shared" si="0"/>
        <v>1.008050470307311</v>
      </c>
      <c r="M9" s="1"/>
    </row>
    <row r="10" spans="1:13" ht="14.25" hidden="1" outlineLevel="1">
      <c r="A10" s="177" t="s">
        <v>38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9"/>
      <c r="M10" s="1"/>
    </row>
    <row r="11" spans="1:13" ht="14.25" hidden="1" outlineLevel="1">
      <c r="A11" s="4">
        <f>A9</f>
        <v>1.008050470307311</v>
      </c>
      <c r="B11" s="5">
        <f>A11*B9</f>
        <v>1.016165750686791</v>
      </c>
      <c r="C11" s="5">
        <f>B11*C9</f>
        <v>1.0243463628900014</v>
      </c>
      <c r="D11" s="5">
        <f>C11*D9</f>
        <v>1.0325928328688494</v>
      </c>
      <c r="E11" s="5">
        <f aca="true" t="shared" si="1" ref="E11:J11">D11*E9</f>
        <v>1.040905690809402</v>
      </c>
      <c r="F11" s="5">
        <f t="shared" si="1"/>
        <v>1.0492854711659743</v>
      </c>
      <c r="G11" s="5">
        <f t="shared" si="1"/>
        <v>1.0577327126954887</v>
      </c>
      <c r="H11" s="5">
        <f t="shared" si="1"/>
        <v>1.0662479584921152</v>
      </c>
      <c r="I11" s="5">
        <f>H11*I9</f>
        <v>1.074831756022187</v>
      </c>
      <c r="J11" s="5">
        <f t="shared" si="1"/>
        <v>1.0834846571593986</v>
      </c>
      <c r="K11" s="5">
        <f>J11*K9</f>
        <v>1.0922072182202873</v>
      </c>
      <c r="L11" s="6">
        <f>K11*L9</f>
        <v>1.1010000000000004</v>
      </c>
      <c r="M11" s="1"/>
    </row>
    <row r="12" spans="1:13" ht="14.25" hidden="1" outlineLevel="1">
      <c r="A12" s="177" t="s">
        <v>35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M12" s="1"/>
    </row>
    <row r="13" spans="1:13" ht="14.25" hidden="1" outlineLevel="1">
      <c r="A13" s="184" t="s">
        <v>54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/>
      <c r="M13" s="1"/>
    </row>
    <row r="14" spans="1:13" ht="14.25" collapsed="1">
      <c r="A14" s="176" t="s">
        <v>103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"/>
    </row>
    <row r="15" spans="1:13" ht="14.25">
      <c r="A15" s="3" t="s">
        <v>23</v>
      </c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  <c r="H15" s="3" t="s">
        <v>30</v>
      </c>
      <c r="I15" s="3" t="s">
        <v>31</v>
      </c>
      <c r="J15" s="3" t="s">
        <v>32</v>
      </c>
      <c r="K15" s="3" t="s">
        <v>33</v>
      </c>
      <c r="L15" s="3" t="s">
        <v>34</v>
      </c>
      <c r="M15" s="1"/>
    </row>
    <row r="16" spans="1:13" ht="14.25">
      <c r="A16" s="177" t="s">
        <v>50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"/>
    </row>
    <row r="17" spans="1:13" ht="14.25">
      <c r="A17" s="4">
        <f>POWER(1.0538,1/12)</f>
        <v>1.0043764386575165</v>
      </c>
      <c r="B17" s="4">
        <f aca="true" t="shared" si="2" ref="B17:L17">POWER(1.0538,1/12)</f>
        <v>1.0043764386575165</v>
      </c>
      <c r="C17" s="4">
        <f t="shared" si="2"/>
        <v>1.0043764386575165</v>
      </c>
      <c r="D17" s="4">
        <f t="shared" si="2"/>
        <v>1.0043764386575165</v>
      </c>
      <c r="E17" s="4">
        <f t="shared" si="2"/>
        <v>1.0043764386575165</v>
      </c>
      <c r="F17" s="4">
        <f t="shared" si="2"/>
        <v>1.0043764386575165</v>
      </c>
      <c r="G17" s="4">
        <f t="shared" si="2"/>
        <v>1.0043764386575165</v>
      </c>
      <c r="H17" s="4">
        <f t="shared" si="2"/>
        <v>1.0043764386575165</v>
      </c>
      <c r="I17" s="4">
        <f t="shared" si="2"/>
        <v>1.0043764386575165</v>
      </c>
      <c r="J17" s="4">
        <f t="shared" si="2"/>
        <v>1.0043764386575165</v>
      </c>
      <c r="K17" s="4">
        <f t="shared" si="2"/>
        <v>1.0043764386575165</v>
      </c>
      <c r="L17" s="4">
        <f t="shared" si="2"/>
        <v>1.0043764386575165</v>
      </c>
      <c r="M17" s="1"/>
    </row>
    <row r="18" spans="1:13" ht="14.25">
      <c r="A18" s="177" t="s">
        <v>51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9"/>
      <c r="M18" s="1"/>
    </row>
    <row r="19" spans="1:13" ht="14.25">
      <c r="A19" s="4">
        <f>A17</f>
        <v>1.0043764386575165</v>
      </c>
      <c r="B19" s="5">
        <f>A19*B17</f>
        <v>1.008772030530356</v>
      </c>
      <c r="C19" s="5">
        <f>B19*C17</f>
        <v>1.0131868594413904</v>
      </c>
      <c r="D19" s="5">
        <f>C19*D17</f>
        <v>1.0176210095803375</v>
      </c>
      <c r="E19" s="5">
        <f aca="true" t="shared" si="3" ref="E19:J19">D19*E17</f>
        <v>1.0220745655053658</v>
      </c>
      <c r="F19" s="5">
        <f t="shared" si="3"/>
        <v>1.026547612144708</v>
      </c>
      <c r="G19" s="5">
        <f t="shared" si="3"/>
        <v>1.0310402347982792</v>
      </c>
      <c r="H19" s="5">
        <f t="shared" si="3"/>
        <v>1.0355525191393053</v>
      </c>
      <c r="I19" s="5">
        <f t="shared" si="3"/>
        <v>1.040084551215955</v>
      </c>
      <c r="J19" s="5">
        <f t="shared" si="3"/>
        <v>1.0446364174529823</v>
      </c>
      <c r="K19" s="5">
        <f>J19*K17</f>
        <v>1.049208204653373</v>
      </c>
      <c r="L19" s="6">
        <f>K19*L17</f>
        <v>1.0538000000000016</v>
      </c>
      <c r="M19" s="1"/>
    </row>
    <row r="20" spans="1:13" ht="14.25">
      <c r="A20" s="175" t="s">
        <v>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"/>
    </row>
    <row r="21" spans="1:13" ht="14.25">
      <c r="A21" s="181" t="s">
        <v>63</v>
      </c>
      <c r="B21" s="182"/>
      <c r="C21" s="183"/>
      <c r="D21" s="21">
        <f>D17</f>
        <v>1.0043764386575165</v>
      </c>
      <c r="E21" s="7">
        <f>D21*E17</f>
        <v>1.008772030530356</v>
      </c>
      <c r="F21" s="7">
        <f aca="true" t="shared" si="4" ref="F21:L21">E21*F17</f>
        <v>1.0131868594413904</v>
      </c>
      <c r="G21" s="7">
        <f t="shared" si="4"/>
        <v>1.0176210095803375</v>
      </c>
      <c r="H21" s="7">
        <f t="shared" si="4"/>
        <v>1.0220745655053658</v>
      </c>
      <c r="I21" s="7">
        <f t="shared" si="4"/>
        <v>1.026547612144708</v>
      </c>
      <c r="J21" s="7">
        <f t="shared" si="4"/>
        <v>1.0310402347982792</v>
      </c>
      <c r="K21" s="7">
        <f t="shared" si="4"/>
        <v>1.0355525191393053</v>
      </c>
      <c r="L21" s="7">
        <f t="shared" si="4"/>
        <v>1.040084551215955</v>
      </c>
      <c r="M21" s="1"/>
    </row>
    <row r="22" spans="1:13" s="106" customFormat="1" ht="6.75" customHeight="1">
      <c r="A22" s="125"/>
      <c r="B22" s="125"/>
      <c r="C22" s="125"/>
      <c r="D22" s="126"/>
      <c r="E22" s="127"/>
      <c r="F22" s="127"/>
      <c r="G22" s="127"/>
      <c r="H22" s="127"/>
      <c r="I22" s="127"/>
      <c r="J22" s="127"/>
      <c r="K22" s="127"/>
      <c r="L22" s="127"/>
      <c r="M22" s="105"/>
    </row>
    <row r="23" spans="1:13" ht="14.25" collapsed="1">
      <c r="A23" s="176" t="s">
        <v>123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"/>
    </row>
    <row r="24" spans="1:13" ht="14.25">
      <c r="A24" s="3" t="s">
        <v>23</v>
      </c>
      <c r="B24" s="3" t="s">
        <v>24</v>
      </c>
      <c r="C24" s="3" t="s">
        <v>25</v>
      </c>
      <c r="D24" s="3" t="s">
        <v>26</v>
      </c>
      <c r="E24" s="3" t="s">
        <v>27</v>
      </c>
      <c r="F24" s="3" t="s">
        <v>28</v>
      </c>
      <c r="G24" s="3" t="s">
        <v>29</v>
      </c>
      <c r="H24" s="3" t="s">
        <v>30</v>
      </c>
      <c r="I24" s="3" t="s">
        <v>31</v>
      </c>
      <c r="J24" s="3" t="s">
        <v>32</v>
      </c>
      <c r="K24" s="3" t="s">
        <v>33</v>
      </c>
      <c r="L24" s="3" t="s">
        <v>34</v>
      </c>
      <c r="M24" s="1"/>
    </row>
    <row r="25" spans="1:13" ht="14.25">
      <c r="A25" s="177" t="s">
        <v>66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1"/>
    </row>
    <row r="26" spans="1:13" ht="14.25">
      <c r="A26" s="4">
        <f>POWER(1.025,1/12)</f>
        <v>1.0020598362698427</v>
      </c>
      <c r="B26" s="4">
        <f aca="true" t="shared" si="5" ref="B26:L26">POWER(1.025,1/12)</f>
        <v>1.0020598362698427</v>
      </c>
      <c r="C26" s="4">
        <f t="shared" si="5"/>
        <v>1.0020598362698427</v>
      </c>
      <c r="D26" s="4">
        <f t="shared" si="5"/>
        <v>1.0020598362698427</v>
      </c>
      <c r="E26" s="4">
        <f t="shared" si="5"/>
        <v>1.0020598362698427</v>
      </c>
      <c r="F26" s="4">
        <f t="shared" si="5"/>
        <v>1.0020598362698427</v>
      </c>
      <c r="G26" s="4">
        <f t="shared" si="5"/>
        <v>1.0020598362698427</v>
      </c>
      <c r="H26" s="4">
        <f t="shared" si="5"/>
        <v>1.0020598362698427</v>
      </c>
      <c r="I26" s="4">
        <f t="shared" si="5"/>
        <v>1.0020598362698427</v>
      </c>
      <c r="J26" s="4">
        <f t="shared" si="5"/>
        <v>1.0020598362698427</v>
      </c>
      <c r="K26" s="4">
        <f t="shared" si="5"/>
        <v>1.0020598362698427</v>
      </c>
      <c r="L26" s="4">
        <f t="shared" si="5"/>
        <v>1.0020598362698427</v>
      </c>
      <c r="M26" s="1"/>
    </row>
    <row r="27" spans="1:13" ht="14.25">
      <c r="A27" s="177" t="s">
        <v>67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9"/>
      <c r="M27" s="1"/>
    </row>
    <row r="28" spans="1:13" ht="14.25">
      <c r="A28" s="4">
        <f>A26</f>
        <v>1.0020598362698427</v>
      </c>
      <c r="B28" s="5">
        <f aca="true" t="shared" si="6" ref="B28:L28">A28*B26</f>
        <v>1.004123915465144</v>
      </c>
      <c r="C28" s="5">
        <f t="shared" si="6"/>
        <v>1.0061922463256356</v>
      </c>
      <c r="D28" s="5">
        <f t="shared" si="6"/>
        <v>1.0082648376090517</v>
      </c>
      <c r="E28" s="5">
        <f t="shared" si="6"/>
        <v>1.010341698091166</v>
      </c>
      <c r="F28" s="5">
        <f t="shared" si="6"/>
        <v>1.0124228365658285</v>
      </c>
      <c r="G28" s="5">
        <f t="shared" si="6"/>
        <v>1.0145082618450039</v>
      </c>
      <c r="H28" s="5">
        <f t="shared" si="6"/>
        <v>1.0165979827588074</v>
      </c>
      <c r="I28" s="5">
        <f t="shared" si="6"/>
        <v>1.018692008155543</v>
      </c>
      <c r="J28" s="5">
        <f t="shared" si="6"/>
        <v>1.0207903469017408</v>
      </c>
      <c r="K28" s="5">
        <f t="shared" si="6"/>
        <v>1.0228930078821943</v>
      </c>
      <c r="L28" s="6">
        <f t="shared" si="6"/>
        <v>1.0249999999999986</v>
      </c>
      <c r="M28" s="1"/>
    </row>
    <row r="29" spans="1:13" ht="14.25">
      <c r="A29" s="175" t="s">
        <v>35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"/>
    </row>
    <row r="30" spans="1:13" ht="14.25">
      <c r="A30" s="21">
        <f>L21*A26</f>
        <v>1.0422269550982528</v>
      </c>
      <c r="B30" s="21">
        <f>A30*B26</f>
        <v>1.044373771981772</v>
      </c>
      <c r="C30" s="21">
        <f>B30*C26</f>
        <v>1.0465250109565727</v>
      </c>
      <c r="D30" s="21">
        <f aca="true" t="shared" si="7" ref="D30:L30">C30*D26</f>
        <v>1.0486806811314386</v>
      </c>
      <c r="E30" s="7">
        <f t="shared" si="7"/>
        <v>1.0508407916339166</v>
      </c>
      <c r="F30" s="7">
        <f t="shared" si="7"/>
        <v>1.0530053516103544</v>
      </c>
      <c r="G30" s="7">
        <f t="shared" si="7"/>
        <v>1.05517437022594</v>
      </c>
      <c r="H30" s="7">
        <f t="shared" si="7"/>
        <v>1.0573478566647398</v>
      </c>
      <c r="I30" s="7">
        <f t="shared" si="7"/>
        <v>1.0595258201297384</v>
      </c>
      <c r="J30" s="7">
        <f t="shared" si="7"/>
        <v>1.0617082698428766</v>
      </c>
      <c r="K30" s="7">
        <f t="shared" si="7"/>
        <v>1.0638952150450909</v>
      </c>
      <c r="L30" s="7">
        <f t="shared" si="7"/>
        <v>1.066086664996353</v>
      </c>
      <c r="M30" s="1"/>
    </row>
    <row r="31" spans="1:13" s="106" customFormat="1" ht="6" customHeight="1">
      <c r="A31" s="126"/>
      <c r="B31" s="126"/>
      <c r="C31" s="126"/>
      <c r="D31" s="126"/>
      <c r="E31" s="127"/>
      <c r="F31" s="127"/>
      <c r="G31" s="127"/>
      <c r="H31" s="127"/>
      <c r="I31" s="127"/>
      <c r="J31" s="127"/>
      <c r="K31" s="127"/>
      <c r="L31" s="127"/>
      <c r="M31" s="105"/>
    </row>
    <row r="32" spans="1:13" ht="14.25" collapsed="1">
      <c r="A32" s="176" t="s">
        <v>89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"/>
    </row>
    <row r="33" spans="1:13" ht="14.25">
      <c r="A33" s="3" t="s">
        <v>23</v>
      </c>
      <c r="B33" s="3" t="s">
        <v>24</v>
      </c>
      <c r="C33" s="3" t="s">
        <v>25</v>
      </c>
      <c r="D33" s="3" t="s">
        <v>26</v>
      </c>
      <c r="E33" s="3" t="s">
        <v>27</v>
      </c>
      <c r="F33" s="3" t="s">
        <v>28</v>
      </c>
      <c r="G33" s="3" t="s">
        <v>29</v>
      </c>
      <c r="H33" s="3" t="s">
        <v>30</v>
      </c>
      <c r="I33" s="3" t="s">
        <v>31</v>
      </c>
      <c r="J33" s="3" t="s">
        <v>32</v>
      </c>
      <c r="K33" s="3" t="s">
        <v>33</v>
      </c>
      <c r="L33" s="3" t="s">
        <v>34</v>
      </c>
      <c r="M33" s="1"/>
    </row>
    <row r="34" spans="1:13" ht="14.25">
      <c r="A34" s="177" t="s">
        <v>90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"/>
    </row>
    <row r="35" spans="1:13" ht="14.25">
      <c r="A35" s="4">
        <f>POWER(1.049,1/12)</f>
        <v>1.003994400555317</v>
      </c>
      <c r="B35" s="4">
        <f aca="true" t="shared" si="8" ref="B35:L35">POWER(1.049,1/12)</f>
        <v>1.003994400555317</v>
      </c>
      <c r="C35" s="4">
        <f t="shared" si="8"/>
        <v>1.003994400555317</v>
      </c>
      <c r="D35" s="4">
        <f t="shared" si="8"/>
        <v>1.003994400555317</v>
      </c>
      <c r="E35" s="4">
        <f t="shared" si="8"/>
        <v>1.003994400555317</v>
      </c>
      <c r="F35" s="4">
        <f t="shared" si="8"/>
        <v>1.003994400555317</v>
      </c>
      <c r="G35" s="4">
        <f t="shared" si="8"/>
        <v>1.003994400555317</v>
      </c>
      <c r="H35" s="4">
        <f t="shared" si="8"/>
        <v>1.003994400555317</v>
      </c>
      <c r="I35" s="4">
        <f t="shared" si="8"/>
        <v>1.003994400555317</v>
      </c>
      <c r="J35" s="4">
        <f t="shared" si="8"/>
        <v>1.003994400555317</v>
      </c>
      <c r="K35" s="4">
        <f t="shared" si="8"/>
        <v>1.003994400555317</v>
      </c>
      <c r="L35" s="4">
        <f t="shared" si="8"/>
        <v>1.003994400555317</v>
      </c>
      <c r="M35" s="1"/>
    </row>
    <row r="36" spans="1:13" ht="14.25">
      <c r="A36" s="177" t="s">
        <v>91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"/>
    </row>
    <row r="37" spans="1:13" ht="14.25">
      <c r="A37" s="4">
        <f>A35</f>
        <v>1.003994400555317</v>
      </c>
      <c r="B37" s="5">
        <f aca="true" t="shared" si="9" ref="B37:L37">A37*B35</f>
        <v>1.0080047563464303</v>
      </c>
      <c r="C37" s="5">
        <f t="shared" si="9"/>
        <v>1.0120311311049426</v>
      </c>
      <c r="D37" s="5">
        <f t="shared" si="9"/>
        <v>1.0160735888170263</v>
      </c>
      <c r="E37" s="5">
        <f t="shared" si="9"/>
        <v>1.0201321937244399</v>
      </c>
      <c r="F37" s="5">
        <f t="shared" si="9"/>
        <v>1.0242070103255494</v>
      </c>
      <c r="G37" s="5">
        <f t="shared" si="9"/>
        <v>1.0282981033763532</v>
      </c>
      <c r="H37" s="5">
        <f t="shared" si="9"/>
        <v>1.0324055378915111</v>
      </c>
      <c r="I37" s="5">
        <f t="shared" si="9"/>
        <v>1.0365293791453773</v>
      </c>
      <c r="J37" s="5">
        <f t="shared" si="9"/>
        <v>1.040669692673038</v>
      </c>
      <c r="K37" s="5">
        <f t="shared" si="9"/>
        <v>1.044826544271353</v>
      </c>
      <c r="L37" s="6">
        <f t="shared" si="9"/>
        <v>1.0490000000000004</v>
      </c>
      <c r="M37" s="1"/>
    </row>
    <row r="38" spans="1:13" ht="14.25">
      <c r="A38" s="175" t="s">
        <v>35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"/>
    </row>
    <row r="39" spans="1:13" ht="14.25">
      <c r="A39" s="21">
        <f>L30*A35</f>
        <v>1.0703450421630305</v>
      </c>
      <c r="B39" s="21">
        <f>A39*B35</f>
        <v>1.0746204289938273</v>
      </c>
      <c r="C39" s="21">
        <f>B39*C35</f>
        <v>1.0789128934321552</v>
      </c>
      <c r="D39" s="21">
        <f aca="true" t="shared" si="10" ref="D39:L39">C39*D35</f>
        <v>1.0832225036928194</v>
      </c>
      <c r="E39" s="7">
        <f t="shared" si="10"/>
        <v>1.0875493282631017</v>
      </c>
      <c r="F39" s="7">
        <f t="shared" si="10"/>
        <v>1.0918934359038504</v>
      </c>
      <c r="G39" s="7">
        <f t="shared" si="10"/>
        <v>1.0962548956505715</v>
      </c>
      <c r="H39" s="7">
        <f t="shared" si="10"/>
        <v>1.1006337768145271</v>
      </c>
      <c r="I39" s="7">
        <f t="shared" si="10"/>
        <v>1.1050301489838357</v>
      </c>
      <c r="J39" s="7">
        <f t="shared" si="10"/>
        <v>1.1094440820245788</v>
      </c>
      <c r="K39" s="7">
        <f t="shared" si="10"/>
        <v>1.1138756460819108</v>
      </c>
      <c r="L39" s="7">
        <f t="shared" si="10"/>
        <v>1.1183249115811744</v>
      </c>
      <c r="M39" s="1"/>
    </row>
    <row r="40" spans="1:13" s="106" customFormat="1" ht="6" customHeight="1">
      <c r="A40" s="126"/>
      <c r="B40" s="126"/>
      <c r="C40" s="126"/>
      <c r="D40" s="126"/>
      <c r="E40" s="127"/>
      <c r="F40" s="127"/>
      <c r="G40" s="127"/>
      <c r="H40" s="127"/>
      <c r="I40" s="127"/>
      <c r="J40" s="127"/>
      <c r="K40" s="127"/>
      <c r="L40" s="127"/>
      <c r="M40" s="105"/>
    </row>
    <row r="41" spans="1:13" ht="14.25" collapsed="1">
      <c r="A41" s="176" t="s">
        <v>101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"/>
    </row>
    <row r="42" spans="1:13" ht="14.25">
      <c r="A42" s="3" t="s">
        <v>23</v>
      </c>
      <c r="B42" s="3" t="s">
        <v>24</v>
      </c>
      <c r="C42" s="3" t="s">
        <v>25</v>
      </c>
      <c r="D42" s="3" t="s">
        <v>26</v>
      </c>
      <c r="E42" s="3" t="s">
        <v>27</v>
      </c>
      <c r="F42" s="3" t="s">
        <v>28</v>
      </c>
      <c r="G42" s="3" t="s">
        <v>29</v>
      </c>
      <c r="H42" s="3" t="s">
        <v>30</v>
      </c>
      <c r="I42" s="3" t="s">
        <v>31</v>
      </c>
      <c r="J42" s="3" t="s">
        <v>32</v>
      </c>
      <c r="K42" s="3" t="s">
        <v>33</v>
      </c>
      <c r="L42" s="3" t="s">
        <v>34</v>
      </c>
      <c r="M42" s="1"/>
    </row>
    <row r="43" spans="1:13" ht="14.25">
      <c r="A43" s="177" t="s">
        <v>102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9"/>
      <c r="M43" s="1"/>
    </row>
    <row r="44" spans="1:13" ht="14.25">
      <c r="A44" s="4">
        <f>POWER(1.05,1/12)</f>
        <v>1.0040741237836484</v>
      </c>
      <c r="B44" s="4">
        <f aca="true" t="shared" si="11" ref="B44:L44">POWER(1.05,1/12)</f>
        <v>1.0040741237836484</v>
      </c>
      <c r="C44" s="4">
        <f t="shared" si="11"/>
        <v>1.0040741237836484</v>
      </c>
      <c r="D44" s="4">
        <f t="shared" si="11"/>
        <v>1.0040741237836484</v>
      </c>
      <c r="E44" s="4">
        <f t="shared" si="11"/>
        <v>1.0040741237836484</v>
      </c>
      <c r="F44" s="4">
        <f t="shared" si="11"/>
        <v>1.0040741237836484</v>
      </c>
      <c r="G44" s="4">
        <f t="shared" si="11"/>
        <v>1.0040741237836484</v>
      </c>
      <c r="H44" s="4">
        <f t="shared" si="11"/>
        <v>1.0040741237836484</v>
      </c>
      <c r="I44" s="4">
        <f t="shared" si="11"/>
        <v>1.0040741237836484</v>
      </c>
      <c r="J44" s="4">
        <f t="shared" si="11"/>
        <v>1.0040741237836484</v>
      </c>
      <c r="K44" s="4">
        <f t="shared" si="11"/>
        <v>1.0040741237836484</v>
      </c>
      <c r="L44" s="4">
        <f t="shared" si="11"/>
        <v>1.0040741237836484</v>
      </c>
      <c r="M44" s="1"/>
    </row>
    <row r="45" spans="1:13" ht="14.25">
      <c r="A45" s="177" t="s">
        <v>109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9"/>
      <c r="M45" s="1"/>
    </row>
    <row r="46" spans="1:13" ht="14.25">
      <c r="A46" s="4">
        <f>A44</f>
        <v>1.0040741237836484</v>
      </c>
      <c r="B46" s="5">
        <f aca="true" t="shared" si="12" ref="B46:L46">A46*B44</f>
        <v>1.0081648460519013</v>
      </c>
      <c r="C46" s="5">
        <f t="shared" si="12"/>
        <v>1.0122722344290396</v>
      </c>
      <c r="D46" s="5">
        <f t="shared" si="12"/>
        <v>1.0163963568148537</v>
      </c>
      <c r="E46" s="5">
        <f t="shared" si="12"/>
        <v>1.0205372813857667</v>
      </c>
      <c r="F46" s="5">
        <f t="shared" si="12"/>
        <v>1.0246950765959604</v>
      </c>
      <c r="G46" s="5">
        <f t="shared" si="12"/>
        <v>1.0288698111785073</v>
      </c>
      <c r="H46" s="5">
        <f t="shared" si="12"/>
        <v>1.0330615541465074</v>
      </c>
      <c r="I46" s="5">
        <f t="shared" si="12"/>
        <v>1.0372703747942285</v>
      </c>
      <c r="J46" s="5">
        <f t="shared" si="12"/>
        <v>1.0414963426982515</v>
      </c>
      <c r="K46" s="5">
        <f t="shared" si="12"/>
        <v>1.0457395277186212</v>
      </c>
      <c r="L46" s="6">
        <f t="shared" si="12"/>
        <v>1.050000000000001</v>
      </c>
      <c r="M46" s="1"/>
    </row>
    <row r="47" spans="1:13" ht="14.25">
      <c r="A47" s="175" t="s">
        <v>35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"/>
    </row>
    <row r="48" spans="1:13" ht="14.25">
      <c r="A48" s="21">
        <f>L39*A44</f>
        <v>1.1228811057012937</v>
      </c>
      <c r="B48" s="21">
        <f aca="true" t="shared" si="13" ref="B48:L48">A48*B44</f>
        <v>1.1274558623202406</v>
      </c>
      <c r="C48" s="21">
        <f t="shared" si="13"/>
        <v>1.1320492570639333</v>
      </c>
      <c r="D48" s="21">
        <f t="shared" si="13"/>
        <v>1.1366613658663989</v>
      </c>
      <c r="E48" s="7">
        <f t="shared" si="13"/>
        <v>1.1412922649710293</v>
      </c>
      <c r="F48" s="7">
        <f t="shared" si="13"/>
        <v>1.1459420309318418</v>
      </c>
      <c r="G48" s="7">
        <f t="shared" si="13"/>
        <v>1.1506107406147434</v>
      </c>
      <c r="H48" s="7">
        <f t="shared" si="13"/>
        <v>1.1552984711988032</v>
      </c>
      <c r="I48" s="7">
        <f t="shared" si="13"/>
        <v>1.1600053001775268</v>
      </c>
      <c r="J48" s="7">
        <f t="shared" si="13"/>
        <v>1.1647313053601382</v>
      </c>
      <c r="K48" s="7">
        <f t="shared" si="13"/>
        <v>1.1694765648728658</v>
      </c>
      <c r="L48" s="7">
        <f t="shared" si="13"/>
        <v>1.1742411571602336</v>
      </c>
      <c r="M48" s="1"/>
    </row>
    <row r="49" spans="1:13" s="106" customFormat="1" ht="6" customHeight="1">
      <c r="A49" s="103"/>
      <c r="B49" s="103"/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5"/>
    </row>
    <row r="50" spans="1:13" ht="14.25" collapsed="1">
      <c r="A50" s="176" t="s">
        <v>116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"/>
    </row>
    <row r="51" spans="1:13" ht="14.25">
      <c r="A51" s="3" t="s">
        <v>23</v>
      </c>
      <c r="B51" s="3" t="s">
        <v>24</v>
      </c>
      <c r="C51" s="3" t="s">
        <v>25</v>
      </c>
      <c r="D51" s="3" t="s">
        <v>26</v>
      </c>
      <c r="E51" s="3" t="s">
        <v>27</v>
      </c>
      <c r="F51" s="3" t="s">
        <v>28</v>
      </c>
      <c r="G51" s="3" t="s">
        <v>29</v>
      </c>
      <c r="H51" s="3" t="s">
        <v>30</v>
      </c>
      <c r="I51" s="3" t="s">
        <v>31</v>
      </c>
      <c r="J51" s="3" t="s">
        <v>32</v>
      </c>
      <c r="K51" s="3" t="s">
        <v>33</v>
      </c>
      <c r="L51" s="3" t="s">
        <v>34</v>
      </c>
      <c r="M51" s="1"/>
    </row>
    <row r="52" spans="1:13" ht="14.25">
      <c r="A52" s="177" t="s">
        <v>117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9"/>
      <c r="M52" s="1"/>
    </row>
    <row r="53" spans="1:13" ht="14.25">
      <c r="A53" s="4">
        <f>POWER(1.041,1/12)</f>
        <v>1.0033540948994528</v>
      </c>
      <c r="B53" s="4">
        <f aca="true" t="shared" si="14" ref="B53:L53">POWER(1.041,1/12)</f>
        <v>1.0033540948994528</v>
      </c>
      <c r="C53" s="4">
        <f t="shared" si="14"/>
        <v>1.0033540948994528</v>
      </c>
      <c r="D53" s="4">
        <f t="shared" si="14"/>
        <v>1.0033540948994528</v>
      </c>
      <c r="E53" s="4">
        <f t="shared" si="14"/>
        <v>1.0033540948994528</v>
      </c>
      <c r="F53" s="4">
        <f t="shared" si="14"/>
        <v>1.0033540948994528</v>
      </c>
      <c r="G53" s="4">
        <f t="shared" si="14"/>
        <v>1.0033540948994528</v>
      </c>
      <c r="H53" s="4">
        <f t="shared" si="14"/>
        <v>1.0033540948994528</v>
      </c>
      <c r="I53" s="4">
        <f t="shared" si="14"/>
        <v>1.0033540948994528</v>
      </c>
      <c r="J53" s="4">
        <f t="shared" si="14"/>
        <v>1.0033540948994528</v>
      </c>
      <c r="K53" s="4">
        <f t="shared" si="14"/>
        <v>1.0033540948994528</v>
      </c>
      <c r="L53" s="4">
        <f t="shared" si="14"/>
        <v>1.0033540948994528</v>
      </c>
      <c r="M53" s="1"/>
    </row>
    <row r="54" spans="1:13" ht="14.25">
      <c r="A54" s="177" t="s">
        <v>118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"/>
    </row>
    <row r="55" spans="1:13" ht="14.25">
      <c r="A55" s="4">
        <f>A53</f>
        <v>1.0033540948994528</v>
      </c>
      <c r="B55" s="5">
        <f aca="true" t="shared" si="15" ref="B55:L55">A55*B53</f>
        <v>1.0067194397515002</v>
      </c>
      <c r="C55" s="5">
        <f t="shared" si="15"/>
        <v>1.0100960722895507</v>
      </c>
      <c r="D55" s="5">
        <f t="shared" si="15"/>
        <v>1.0134840303735744</v>
      </c>
      <c r="E55" s="5">
        <f t="shared" si="15"/>
        <v>1.0168833519905274</v>
      </c>
      <c r="F55" s="5">
        <f t="shared" si="15"/>
        <v>1.0202940752547773</v>
      </c>
      <c r="G55" s="5">
        <f t="shared" si="15"/>
        <v>1.0237162384085312</v>
      </c>
      <c r="H55" s="5">
        <f t="shared" si="15"/>
        <v>1.0271498798222642</v>
      </c>
      <c r="I55" s="5">
        <f t="shared" si="15"/>
        <v>1.0305950379951496</v>
      </c>
      <c r="J55" s="5">
        <f t="shared" si="15"/>
        <v>1.0340517515554906</v>
      </c>
      <c r="K55" s="5">
        <f t="shared" si="15"/>
        <v>1.037520059261153</v>
      </c>
      <c r="L55" s="6">
        <f t="shared" si="15"/>
        <v>1.0410000000000008</v>
      </c>
      <c r="M55" s="1"/>
    </row>
    <row r="56" spans="1:13" ht="14.25">
      <c r="A56" s="175" t="s">
        <v>35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"/>
    </row>
    <row r="57" spans="1:13" ht="14.25">
      <c r="A57" s="21">
        <f>L48*A53</f>
        <v>1.1781796734361922</v>
      </c>
      <c r="B57" s="21">
        <f aca="true" t="shared" si="16" ref="B57:L57">A57*B53</f>
        <v>1.1821313998695036</v>
      </c>
      <c r="C57" s="21">
        <f t="shared" si="16"/>
        <v>1.186096380768289</v>
      </c>
      <c r="D57" s="21">
        <f t="shared" si="16"/>
        <v>1.1900746605892834</v>
      </c>
      <c r="E57" s="7">
        <f t="shared" si="16"/>
        <v>1.1940662839383338</v>
      </c>
      <c r="F57" s="7">
        <f t="shared" si="16"/>
        <v>1.1980712955708999</v>
      </c>
      <c r="G57" s="7">
        <f t="shared" si="16"/>
        <v>1.202089740392555</v>
      </c>
      <c r="H57" s="7">
        <f t="shared" si="16"/>
        <v>1.2061216634594902</v>
      </c>
      <c r="I57" s="7">
        <f t="shared" si="16"/>
        <v>1.2101671099790192</v>
      </c>
      <c r="J57" s="7">
        <f t="shared" si="16"/>
        <v>1.2142261253100854</v>
      </c>
      <c r="K57" s="7">
        <f t="shared" si="16"/>
        <v>1.2182987549637703</v>
      </c>
      <c r="L57" s="7">
        <f t="shared" si="16"/>
        <v>1.222385044603804</v>
      </c>
      <c r="M57" s="1"/>
    </row>
    <row r="58" spans="1:13" ht="22.5" customHeight="1">
      <c r="A58" s="180" t="s">
        <v>104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"/>
    </row>
    <row r="59" spans="1:13" ht="14.25">
      <c r="A59" s="157" t="s">
        <v>39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8"/>
    </row>
    <row r="60" spans="1:13" ht="14.25">
      <c r="A60" s="158" t="s">
        <v>40</v>
      </c>
      <c r="B60" s="159"/>
      <c r="C60" s="159"/>
      <c r="D60" s="160"/>
      <c r="E60" s="158" t="s">
        <v>41</v>
      </c>
      <c r="F60" s="159"/>
      <c r="G60" s="159"/>
      <c r="H60" s="160"/>
      <c r="I60" s="158" t="s">
        <v>42</v>
      </c>
      <c r="J60" s="159"/>
      <c r="K60" s="159"/>
      <c r="L60" s="160"/>
      <c r="M60" s="1"/>
    </row>
    <row r="61" spans="1:13" ht="12.75" customHeight="1">
      <c r="A61" s="161">
        <f>'Реестр смет  (1.01.2020)'!H31</f>
        <v>15211.9716</v>
      </c>
      <c r="B61" s="162"/>
      <c r="C61" s="163"/>
      <c r="D61" s="167" t="s">
        <v>43</v>
      </c>
      <c r="E61" s="3" t="s">
        <v>100</v>
      </c>
      <c r="F61" s="3" t="s">
        <v>119</v>
      </c>
      <c r="G61" s="9" t="s">
        <v>120</v>
      </c>
      <c r="H61" s="9" t="s">
        <v>44</v>
      </c>
      <c r="I61" s="169">
        <f>A61/H62</f>
        <v>3042.3943200000003</v>
      </c>
      <c r="J61" s="170"/>
      <c r="K61" s="170"/>
      <c r="L61" s="171"/>
      <c r="M61" s="1"/>
    </row>
    <row r="62" spans="1:13" ht="12.75" customHeight="1">
      <c r="A62" s="164"/>
      <c r="B62" s="165"/>
      <c r="C62" s="166"/>
      <c r="D62" s="168"/>
      <c r="E62" s="10"/>
      <c r="F62" s="10">
        <v>0</v>
      </c>
      <c r="G62" s="11">
        <v>5</v>
      </c>
      <c r="H62" s="11">
        <f>E62+F62+G62</f>
        <v>5</v>
      </c>
      <c r="I62" s="172"/>
      <c r="J62" s="173"/>
      <c r="K62" s="173"/>
      <c r="L62" s="174"/>
      <c r="M62" s="1"/>
    </row>
    <row r="63" spans="1:13" ht="14.25">
      <c r="A63" s="151" t="s">
        <v>45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2" t="s">
        <v>46</v>
      </c>
    </row>
    <row r="64" spans="1:13" ht="14.25" hidden="1" outlineLevel="2">
      <c r="A64" s="152" t="s">
        <v>53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4"/>
    </row>
    <row r="65" spans="1:13" ht="16.5" customHeight="1" hidden="1" outlineLevel="2">
      <c r="A65" s="13" t="s">
        <v>23</v>
      </c>
      <c r="B65" s="13" t="s">
        <v>24</v>
      </c>
      <c r="C65" s="13" t="s">
        <v>25</v>
      </c>
      <c r="D65" s="14" t="s">
        <v>26</v>
      </c>
      <c r="E65" s="14" t="s">
        <v>27</v>
      </c>
      <c r="F65" s="13" t="s">
        <v>28</v>
      </c>
      <c r="G65" s="13" t="s">
        <v>29</v>
      </c>
      <c r="H65" s="13" t="s">
        <v>30</v>
      </c>
      <c r="I65" s="13" t="s">
        <v>31</v>
      </c>
      <c r="J65" s="13" t="s">
        <v>32</v>
      </c>
      <c r="K65" s="15" t="s">
        <v>33</v>
      </c>
      <c r="L65" s="13" t="s">
        <v>34</v>
      </c>
      <c r="M65" s="16" t="s">
        <v>52</v>
      </c>
    </row>
    <row r="66" spans="1:13" ht="14.25" hidden="1" outlineLevel="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>
        <f>SUM(A66:L66)</f>
        <v>0</v>
      </c>
    </row>
    <row r="67" spans="1:13" ht="14.25" hidden="1" outlineLevel="1">
      <c r="A67" s="152" t="s">
        <v>65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4"/>
    </row>
    <row r="68" spans="1:13" ht="14.25" hidden="1" outlineLevel="1">
      <c r="A68" s="13" t="s">
        <v>23</v>
      </c>
      <c r="B68" s="13" t="s">
        <v>24</v>
      </c>
      <c r="C68" s="13" t="s">
        <v>25</v>
      </c>
      <c r="D68" s="14" t="s">
        <v>26</v>
      </c>
      <c r="E68" s="14" t="s">
        <v>27</v>
      </c>
      <c r="F68" s="13" t="s">
        <v>28</v>
      </c>
      <c r="G68" s="13" t="s">
        <v>29</v>
      </c>
      <c r="H68" s="13" t="s">
        <v>30</v>
      </c>
      <c r="I68" s="13" t="s">
        <v>31</v>
      </c>
      <c r="J68" s="13" t="s">
        <v>32</v>
      </c>
      <c r="K68" s="15" t="s">
        <v>33</v>
      </c>
      <c r="L68" s="13" t="s">
        <v>34</v>
      </c>
      <c r="M68" s="16" t="s">
        <v>78</v>
      </c>
    </row>
    <row r="69" spans="1:13" ht="18.75" customHeight="1" hidden="1" outlineLevel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>
        <f>SUM(A69:L69)</f>
        <v>0</v>
      </c>
    </row>
    <row r="70" spans="1:13" ht="12" customHeight="1" collapsed="1">
      <c r="A70" s="152" t="s">
        <v>121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4"/>
    </row>
    <row r="71" spans="1:13" ht="13.5" customHeight="1">
      <c r="A71" s="13" t="s">
        <v>23</v>
      </c>
      <c r="B71" s="13" t="s">
        <v>24</v>
      </c>
      <c r="C71" s="13" t="s">
        <v>25</v>
      </c>
      <c r="D71" s="14" t="s">
        <v>26</v>
      </c>
      <c r="E71" s="14" t="s">
        <v>27</v>
      </c>
      <c r="F71" s="13" t="s">
        <v>28</v>
      </c>
      <c r="G71" s="13" t="s">
        <v>29</v>
      </c>
      <c r="H71" s="13" t="s">
        <v>30</v>
      </c>
      <c r="I71" s="13" t="s">
        <v>31</v>
      </c>
      <c r="J71" s="13" t="s">
        <v>32</v>
      </c>
      <c r="K71" s="15" t="s">
        <v>33</v>
      </c>
      <c r="L71" s="13" t="s">
        <v>34</v>
      </c>
      <c r="M71" s="16" t="s">
        <v>120</v>
      </c>
    </row>
    <row r="72" spans="1:13" ht="12" customHeight="1">
      <c r="A72" s="17"/>
      <c r="B72" s="17"/>
      <c r="C72" s="17">
        <f>I61*C57</f>
        <v>3608.5728918219997</v>
      </c>
      <c r="D72" s="17">
        <f>I61*D57</f>
        <v>3620.6763877527637</v>
      </c>
      <c r="E72" s="17">
        <f>I61*E57</f>
        <v>3632.8204799574946</v>
      </c>
      <c r="F72" s="17">
        <f>I61*F57</f>
        <v>3645.0053045999475</v>
      </c>
      <c r="G72" s="17">
        <f>I61*G57</f>
        <v>3657.2309983005844</v>
      </c>
      <c r="H72" s="17"/>
      <c r="I72" s="17"/>
      <c r="J72" s="17"/>
      <c r="K72" s="17"/>
      <c r="L72" s="17"/>
      <c r="M72" s="18">
        <f>SUM(A72:L72)</f>
        <v>18164.306062432788</v>
      </c>
    </row>
    <row r="73" spans="1:13" ht="15" customHeight="1">
      <c r="A73" s="155" t="s">
        <v>47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10">
        <f>M72</f>
        <v>18164.306062432788</v>
      </c>
    </row>
    <row r="74" spans="1:13" ht="14.25" customHeight="1">
      <c r="A74" s="148" t="s">
        <v>115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50"/>
      <c r="M74" s="124">
        <v>16044.32</v>
      </c>
    </row>
  </sheetData>
  <sheetProtection/>
  <mergeCells count="45">
    <mergeCell ref="A50:L50"/>
    <mergeCell ref="A52:L52"/>
    <mergeCell ref="A54:L54"/>
    <mergeCell ref="A56:L56"/>
    <mergeCell ref="L1:M1"/>
    <mergeCell ref="A2:M2"/>
    <mergeCell ref="A3:M3"/>
    <mergeCell ref="A4:M4"/>
    <mergeCell ref="A5:L5"/>
    <mergeCell ref="A6:L6"/>
    <mergeCell ref="A8:L8"/>
    <mergeCell ref="A10:L10"/>
    <mergeCell ref="A12:L12"/>
    <mergeCell ref="A13:L13"/>
    <mergeCell ref="A14:L14"/>
    <mergeCell ref="A16:L16"/>
    <mergeCell ref="A18:L18"/>
    <mergeCell ref="A20:L20"/>
    <mergeCell ref="A21:C21"/>
    <mergeCell ref="A23:L23"/>
    <mergeCell ref="A25:L25"/>
    <mergeCell ref="A27:L27"/>
    <mergeCell ref="A29:L29"/>
    <mergeCell ref="A32:L32"/>
    <mergeCell ref="A34:L34"/>
    <mergeCell ref="A36:L36"/>
    <mergeCell ref="A38:L38"/>
    <mergeCell ref="A58:L58"/>
    <mergeCell ref="A41:L41"/>
    <mergeCell ref="A43:L43"/>
    <mergeCell ref="A45:L45"/>
    <mergeCell ref="A47:L47"/>
    <mergeCell ref="A59:L59"/>
    <mergeCell ref="A60:D60"/>
    <mergeCell ref="E60:H60"/>
    <mergeCell ref="I60:L60"/>
    <mergeCell ref="A61:C62"/>
    <mergeCell ref="D61:D62"/>
    <mergeCell ref="I61:L62"/>
    <mergeCell ref="A74:L74"/>
    <mergeCell ref="A63:L63"/>
    <mergeCell ref="A64:M64"/>
    <mergeCell ref="A67:M67"/>
    <mergeCell ref="A70:M70"/>
    <mergeCell ref="A73:L73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view="pageBreakPreview" zoomScale="97" zoomScaleSheetLayoutView="97" zoomScalePageLayoutView="0" workbookViewId="0" topLeftCell="A31">
      <selection activeCell="C45" sqref="C45"/>
    </sheetView>
  </sheetViews>
  <sheetFormatPr defaultColWidth="9.140625" defaultRowHeight="15" outlineLevelRow="2" outlineLevelCol="1"/>
  <cols>
    <col min="1" max="1" width="5.00390625" style="70" customWidth="1"/>
    <col min="2" max="2" width="15.140625" style="73" customWidth="1"/>
    <col min="3" max="3" width="45.7109375" style="74" customWidth="1"/>
    <col min="4" max="4" width="12.00390625" style="75" customWidth="1"/>
    <col min="5" max="5" width="9.421875" style="75" customWidth="1"/>
    <col min="6" max="6" width="14.28125" style="75" customWidth="1"/>
    <col min="7" max="7" width="11.7109375" style="75" customWidth="1"/>
    <col min="8" max="8" width="13.28125" style="75" customWidth="1"/>
    <col min="9" max="9" width="10.57421875" style="31" customWidth="1"/>
    <col min="10" max="10" width="12.57421875" style="31" customWidth="1"/>
    <col min="11" max="11" width="13.7109375" style="31" customWidth="1" outlineLevel="1"/>
    <col min="12" max="12" width="10.140625" style="31" customWidth="1" outlineLevel="1"/>
    <col min="13" max="13" width="12.28125" style="31" customWidth="1" outlineLevel="1"/>
    <col min="14" max="14" width="9.140625" style="31" customWidth="1" outlineLevel="1"/>
    <col min="15" max="16384" width="9.140625" style="31" customWidth="1"/>
  </cols>
  <sheetData>
    <row r="1" spans="1:8" ht="23.25" customHeight="1">
      <c r="A1" s="131" t="s">
        <v>99</v>
      </c>
      <c r="B1" s="131"/>
      <c r="C1" s="131"/>
      <c r="D1" s="131"/>
      <c r="E1" s="131"/>
      <c r="F1" s="131"/>
      <c r="G1" s="131"/>
      <c r="H1" s="131"/>
    </row>
    <row r="2" spans="1:9" ht="41.25" customHeight="1">
      <c r="A2" s="132" t="s">
        <v>112</v>
      </c>
      <c r="B2" s="132"/>
      <c r="C2" s="132"/>
      <c r="D2" s="132"/>
      <c r="E2" s="132"/>
      <c r="F2" s="132"/>
      <c r="G2" s="132"/>
      <c r="H2" s="132"/>
      <c r="I2" s="32"/>
    </row>
    <row r="3" spans="1:8" s="33" customFormat="1" ht="25.5" customHeight="1">
      <c r="A3" s="128" t="s">
        <v>0</v>
      </c>
      <c r="B3" s="133" t="s">
        <v>1</v>
      </c>
      <c r="C3" s="128" t="s">
        <v>2</v>
      </c>
      <c r="D3" s="134" t="s">
        <v>48</v>
      </c>
      <c r="E3" s="134"/>
      <c r="F3" s="134"/>
      <c r="G3" s="134"/>
      <c r="H3" s="128" t="s">
        <v>3</v>
      </c>
    </row>
    <row r="4" spans="1:8" s="33" customFormat="1" ht="13.5">
      <c r="A4" s="128"/>
      <c r="B4" s="133"/>
      <c r="C4" s="128"/>
      <c r="D4" s="128" t="s">
        <v>4</v>
      </c>
      <c r="E4" s="128" t="s">
        <v>5</v>
      </c>
      <c r="F4" s="128" t="s">
        <v>6</v>
      </c>
      <c r="G4" s="128" t="s">
        <v>7</v>
      </c>
      <c r="H4" s="128"/>
    </row>
    <row r="5" spans="1:8" s="33" customFormat="1" ht="13.5">
      <c r="A5" s="128"/>
      <c r="B5" s="133"/>
      <c r="C5" s="128"/>
      <c r="D5" s="128"/>
      <c r="E5" s="128"/>
      <c r="F5" s="128"/>
      <c r="G5" s="128"/>
      <c r="H5" s="128"/>
    </row>
    <row r="6" spans="1:13" s="33" customFormat="1" ht="26.25" customHeight="1">
      <c r="A6" s="128"/>
      <c r="B6" s="133"/>
      <c r="C6" s="128"/>
      <c r="D6" s="128"/>
      <c r="E6" s="128"/>
      <c r="F6" s="128"/>
      <c r="G6" s="128"/>
      <c r="H6" s="128"/>
      <c r="I6" s="33" t="s">
        <v>43</v>
      </c>
      <c r="J6" s="33" t="s">
        <v>93</v>
      </c>
      <c r="K6" s="33" t="s">
        <v>94</v>
      </c>
      <c r="L6" s="33" t="s">
        <v>76</v>
      </c>
      <c r="M6" s="33" t="s">
        <v>77</v>
      </c>
    </row>
    <row r="7" spans="1:8" ht="15" customHeight="1">
      <c r="A7" s="123">
        <v>1</v>
      </c>
      <c r="B7" s="34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</row>
    <row r="8" spans="1:13" s="37" customFormat="1" ht="71.25" customHeight="1">
      <c r="A8" s="120">
        <v>1</v>
      </c>
      <c r="B8" s="122" t="s">
        <v>113</v>
      </c>
      <c r="C8" s="38" t="s">
        <v>68</v>
      </c>
      <c r="D8" s="113">
        <v>6.98</v>
      </c>
      <c r="E8" s="113">
        <v>21.78</v>
      </c>
      <c r="F8" s="113">
        <v>2819.81</v>
      </c>
      <c r="G8" s="57"/>
      <c r="H8" s="114">
        <v>2848.57</v>
      </c>
      <c r="I8" s="77">
        <f>(D8+E8)*D38</f>
        <v>0</v>
      </c>
      <c r="J8" s="77">
        <f>F8*F38</f>
        <v>0</v>
      </c>
      <c r="K8" s="116">
        <f>I8+J8</f>
        <v>0</v>
      </c>
      <c r="L8" s="31">
        <f>K8*1.18</f>
        <v>0</v>
      </c>
      <c r="M8" s="52">
        <f>K8*L19</f>
        <v>0</v>
      </c>
    </row>
    <row r="9" spans="1:13" s="37" customFormat="1" ht="40.5" customHeight="1">
      <c r="A9" s="120">
        <v>2</v>
      </c>
      <c r="B9" s="122" t="s">
        <v>87</v>
      </c>
      <c r="C9" s="38" t="s">
        <v>69</v>
      </c>
      <c r="D9" s="113">
        <v>2.44</v>
      </c>
      <c r="E9" s="113">
        <v>26.38</v>
      </c>
      <c r="F9" s="113"/>
      <c r="G9" s="57"/>
      <c r="H9" s="114">
        <v>28.82</v>
      </c>
      <c r="I9" s="77">
        <f>(D9+E9)*D38</f>
        <v>0</v>
      </c>
      <c r="J9" s="77">
        <f>F9*F38</f>
        <v>0</v>
      </c>
      <c r="K9" s="31">
        <f>I9+J9</f>
        <v>0</v>
      </c>
      <c r="L9" s="31">
        <f>K9*1.18</f>
        <v>0</v>
      </c>
      <c r="M9" s="52">
        <f>K9*L19</f>
        <v>0</v>
      </c>
    </row>
    <row r="10" spans="1:13" s="37" customFormat="1" ht="40.5" customHeight="1">
      <c r="A10" s="120">
        <v>3</v>
      </c>
      <c r="B10" s="122" t="s">
        <v>88</v>
      </c>
      <c r="C10" s="38" t="s">
        <v>70</v>
      </c>
      <c r="D10" s="113">
        <v>47.48</v>
      </c>
      <c r="E10" s="113">
        <v>59.13</v>
      </c>
      <c r="F10" s="113">
        <v>0.75</v>
      </c>
      <c r="G10" s="57"/>
      <c r="H10" s="114">
        <v>107.36</v>
      </c>
      <c r="I10" s="77">
        <f>(D10+E10)*D38</f>
        <v>0</v>
      </c>
      <c r="J10" s="77">
        <f>F10*F38</f>
        <v>0</v>
      </c>
      <c r="K10" s="116">
        <f>I10+J10</f>
        <v>0</v>
      </c>
      <c r="L10" s="31">
        <f>K10*1.18</f>
        <v>0</v>
      </c>
      <c r="M10" s="52">
        <f>K10*L19</f>
        <v>0</v>
      </c>
    </row>
    <row r="11" spans="1:13" s="109" customFormat="1" ht="31.5" customHeight="1">
      <c r="A11" s="120">
        <v>4</v>
      </c>
      <c r="B11" s="122" t="s">
        <v>74</v>
      </c>
      <c r="C11" s="38" t="s">
        <v>92</v>
      </c>
      <c r="D11" s="113">
        <v>65.845</v>
      </c>
      <c r="E11" s="113"/>
      <c r="F11" s="113"/>
      <c r="G11" s="57"/>
      <c r="H11" s="114">
        <v>65.845</v>
      </c>
      <c r="I11" s="77">
        <f>(D11+E11)*D38</f>
        <v>0</v>
      </c>
      <c r="J11" s="77">
        <f>F11*F38</f>
        <v>0</v>
      </c>
      <c r="K11" s="117">
        <f>I11+J11</f>
        <v>0</v>
      </c>
      <c r="L11" s="33">
        <f>K11*1.18</f>
        <v>0</v>
      </c>
      <c r="M11" s="115">
        <f>K11*L19</f>
        <v>0</v>
      </c>
    </row>
    <row r="12" spans="1:13" s="37" customFormat="1" ht="30" customHeight="1">
      <c r="A12" s="123"/>
      <c r="B12" s="39"/>
      <c r="C12" s="40" t="s">
        <v>49</v>
      </c>
      <c r="D12" s="41">
        <v>122.745</v>
      </c>
      <c r="E12" s="41">
        <v>107.28999999999999</v>
      </c>
      <c r="F12" s="41">
        <v>2820.56</v>
      </c>
      <c r="G12" s="41">
        <v>0</v>
      </c>
      <c r="H12" s="41">
        <v>3050.5950000000003</v>
      </c>
      <c r="M12" s="81"/>
    </row>
    <row r="13" spans="1:13" ht="18" customHeight="1">
      <c r="A13" s="42"/>
      <c r="B13" s="43"/>
      <c r="C13" s="121"/>
      <c r="D13" s="44"/>
      <c r="E13" s="44"/>
      <c r="F13" s="45"/>
      <c r="G13" s="45"/>
      <c r="H13" s="44"/>
      <c r="M13" s="80"/>
    </row>
    <row r="14" spans="1:13" ht="22.5" customHeight="1">
      <c r="A14" s="129" t="s">
        <v>8</v>
      </c>
      <c r="B14" s="130"/>
      <c r="C14" s="130"/>
      <c r="D14" s="130"/>
      <c r="E14" s="130"/>
      <c r="F14" s="130"/>
      <c r="G14" s="130"/>
      <c r="H14" s="130"/>
      <c r="M14" s="80"/>
    </row>
    <row r="15" spans="1:13" s="37" customFormat="1" ht="35.25" customHeight="1">
      <c r="A15" s="120">
        <v>4</v>
      </c>
      <c r="B15" s="46" t="s">
        <v>58</v>
      </c>
      <c r="C15" s="47" t="s">
        <v>59</v>
      </c>
      <c r="D15" s="48">
        <f>D12*(2.9%*0.85)*0</f>
        <v>0</v>
      </c>
      <c r="E15" s="48">
        <f>E12*(2.9%*0.85)*0</f>
        <v>0</v>
      </c>
      <c r="F15" s="49"/>
      <c r="G15" s="49"/>
      <c r="H15" s="48">
        <f>E15+D15</f>
        <v>0</v>
      </c>
      <c r="M15" s="81"/>
    </row>
    <row r="16" spans="1:13" s="37" customFormat="1" ht="38.25" customHeight="1" hidden="1" outlineLevel="1">
      <c r="A16" s="120">
        <v>5</v>
      </c>
      <c r="B16" s="122" t="s">
        <v>64</v>
      </c>
      <c r="C16" s="38" t="s">
        <v>71</v>
      </c>
      <c r="D16" s="48"/>
      <c r="E16" s="48"/>
      <c r="F16" s="49"/>
      <c r="G16" s="49"/>
      <c r="H16" s="48">
        <f>E16+D16</f>
        <v>0</v>
      </c>
      <c r="I16" s="37">
        <f>D16*F34</f>
        <v>0</v>
      </c>
      <c r="K16" s="78">
        <f>I16+J16</f>
        <v>0</v>
      </c>
      <c r="L16" s="37">
        <f>K16*1.18</f>
        <v>0</v>
      </c>
      <c r="M16" s="81">
        <f>K16*L19</f>
        <v>0</v>
      </c>
    </row>
    <row r="17" spans="1:13" s="37" customFormat="1" ht="39" customHeight="1" hidden="1" outlineLevel="1">
      <c r="A17" s="120">
        <v>6</v>
      </c>
      <c r="B17" s="122" t="s">
        <v>72</v>
      </c>
      <c r="C17" s="47" t="s">
        <v>73</v>
      </c>
      <c r="D17" s="48"/>
      <c r="E17" s="48"/>
      <c r="F17" s="49"/>
      <c r="G17" s="49"/>
      <c r="H17" s="48">
        <f>E17+D17</f>
        <v>0</v>
      </c>
      <c r="I17" s="37">
        <f>D17*F34</f>
        <v>0</v>
      </c>
      <c r="K17" s="78">
        <f>I17+J17</f>
        <v>0</v>
      </c>
      <c r="L17" s="37">
        <f>K17*1.18</f>
        <v>0</v>
      </c>
      <c r="M17" s="81">
        <f>K17*L19</f>
        <v>0</v>
      </c>
    </row>
    <row r="18" spans="1:13" s="37" customFormat="1" ht="30.75" customHeight="1" collapsed="1">
      <c r="A18" s="123"/>
      <c r="B18" s="39"/>
      <c r="C18" s="47" t="s">
        <v>9</v>
      </c>
      <c r="D18" s="48">
        <f>D15+D16+D17</f>
        <v>0</v>
      </c>
      <c r="E18" s="48">
        <f>E15</f>
        <v>0</v>
      </c>
      <c r="F18" s="49"/>
      <c r="G18" s="49"/>
      <c r="H18" s="48">
        <f>D18+E18+F18+G18</f>
        <v>0</v>
      </c>
      <c r="J18" s="77"/>
      <c r="K18" s="118">
        <f>SUM(K8:K17)</f>
        <v>0</v>
      </c>
      <c r="L18" s="37">
        <f>SUM(L8:L17)</f>
        <v>0</v>
      </c>
      <c r="M18" s="82">
        <f>SUM(M8:M17)</f>
        <v>0</v>
      </c>
    </row>
    <row r="19" spans="1:12" s="37" customFormat="1" ht="29.25" customHeight="1">
      <c r="A19" s="123"/>
      <c r="B19" s="39"/>
      <c r="C19" s="40" t="s">
        <v>10</v>
      </c>
      <c r="D19" s="50">
        <f>D18+D12</f>
        <v>122.745</v>
      </c>
      <c r="E19" s="50">
        <f>E18+E12</f>
        <v>107.28999999999999</v>
      </c>
      <c r="F19" s="51">
        <f>F18+F12</f>
        <v>2820.56</v>
      </c>
      <c r="G19" s="51">
        <f>G18+G12</f>
        <v>0</v>
      </c>
      <c r="H19" s="50">
        <f>H18+H12</f>
        <v>3050.5950000000003</v>
      </c>
      <c r="I19" s="52"/>
      <c r="K19" s="37" t="s">
        <v>75</v>
      </c>
      <c r="L19" s="83"/>
    </row>
    <row r="20" spans="1:8" s="53" customFormat="1" ht="19.5" customHeight="1">
      <c r="A20" s="129" t="s">
        <v>11</v>
      </c>
      <c r="B20" s="130"/>
      <c r="C20" s="130"/>
      <c r="D20" s="130"/>
      <c r="E20" s="130"/>
      <c r="F20" s="130"/>
      <c r="G20" s="130"/>
      <c r="H20" s="130"/>
    </row>
    <row r="21" spans="1:8" s="37" customFormat="1" ht="36" customHeight="1" hidden="1" outlineLevel="1">
      <c r="A21" s="120">
        <v>5</v>
      </c>
      <c r="B21" s="47" t="s">
        <v>16</v>
      </c>
      <c r="C21" s="47" t="s">
        <v>15</v>
      </c>
      <c r="D21" s="54"/>
      <c r="E21" s="55"/>
      <c r="F21" s="56"/>
      <c r="G21" s="56"/>
      <c r="H21" s="55">
        <f>G21</f>
        <v>0</v>
      </c>
    </row>
    <row r="22" spans="1:8" s="37" customFormat="1" ht="36" customHeight="1" hidden="1" collapsed="1">
      <c r="A22" s="120">
        <v>6</v>
      </c>
      <c r="B22" s="36" t="s">
        <v>17</v>
      </c>
      <c r="C22" s="47" t="s">
        <v>18</v>
      </c>
      <c r="D22" s="54"/>
      <c r="E22" s="55"/>
      <c r="F22" s="56"/>
      <c r="G22" s="56"/>
      <c r="H22" s="55">
        <f>G22</f>
        <v>0</v>
      </c>
    </row>
    <row r="23" spans="1:8" s="37" customFormat="1" ht="33" customHeight="1">
      <c r="A23" s="120">
        <v>7</v>
      </c>
      <c r="B23" s="46" t="s">
        <v>62</v>
      </c>
      <c r="C23" s="38" t="s">
        <v>60</v>
      </c>
      <c r="D23" s="57">
        <f>D19*2.5%*0</f>
        <v>0</v>
      </c>
      <c r="E23" s="57">
        <f>E19*2.5%*0</f>
        <v>0</v>
      </c>
      <c r="F23" s="57"/>
      <c r="G23" s="58">
        <v>0</v>
      </c>
      <c r="H23" s="48">
        <f>D23+E23+F23+G23</f>
        <v>0</v>
      </c>
    </row>
    <row r="24" spans="1:8" s="37" customFormat="1" ht="24" customHeight="1">
      <c r="A24" s="123"/>
      <c r="B24" s="39"/>
      <c r="C24" s="47" t="s">
        <v>12</v>
      </c>
      <c r="D24" s="48">
        <f>SUM(D21:D23)</f>
        <v>0</v>
      </c>
      <c r="E24" s="48">
        <f>SUM(E21:E23)</f>
        <v>0</v>
      </c>
      <c r="F24" s="49"/>
      <c r="G24" s="48">
        <f>SUM(G21:G23)</f>
        <v>0</v>
      </c>
      <c r="H24" s="48">
        <f>G24+D24+E24</f>
        <v>0</v>
      </c>
    </row>
    <row r="25" spans="1:9" ht="31.5" customHeight="1" hidden="1" outlineLevel="2">
      <c r="A25" s="42"/>
      <c r="B25" s="43"/>
      <c r="C25" s="121" t="s">
        <v>13</v>
      </c>
      <c r="D25" s="59">
        <f>D24+D19</f>
        <v>122.745</v>
      </c>
      <c r="E25" s="59">
        <f>E19+E24</f>
        <v>107.28999999999999</v>
      </c>
      <c r="F25" s="59">
        <f>F19+F24</f>
        <v>2820.56</v>
      </c>
      <c r="G25" s="59">
        <f>G19+G24</f>
        <v>0</v>
      </c>
      <c r="H25" s="59">
        <f>G25+D25+E25+F25</f>
        <v>3050.595</v>
      </c>
      <c r="I25" s="60"/>
    </row>
    <row r="26" spans="1:8" s="53" customFormat="1" ht="18.75" customHeight="1" hidden="1" outlineLevel="1" collapsed="1">
      <c r="A26" s="129" t="s">
        <v>14</v>
      </c>
      <c r="B26" s="130"/>
      <c r="C26" s="130"/>
      <c r="D26" s="130"/>
      <c r="E26" s="130"/>
      <c r="F26" s="130"/>
      <c r="G26" s="130"/>
      <c r="H26" s="130"/>
    </row>
    <row r="27" spans="1:8" ht="47.25" customHeight="1" hidden="1" outlineLevel="1">
      <c r="A27" s="35"/>
      <c r="B27" s="38"/>
      <c r="C27" s="121"/>
      <c r="D27" s="59"/>
      <c r="E27" s="59"/>
      <c r="F27" s="59"/>
      <c r="G27" s="59"/>
      <c r="H27" s="59"/>
    </row>
    <row r="28" spans="1:8" s="64" customFormat="1" ht="31.5" customHeight="1" collapsed="1">
      <c r="A28" s="61"/>
      <c r="B28" s="62"/>
      <c r="C28" s="40" t="s">
        <v>20</v>
      </c>
      <c r="D28" s="50">
        <v>122.745</v>
      </c>
      <c r="E28" s="50">
        <v>107.28999999999999</v>
      </c>
      <c r="F28" s="63">
        <v>2820.56</v>
      </c>
      <c r="G28" s="50">
        <v>0</v>
      </c>
      <c r="H28" s="50">
        <v>3050.5950000000003</v>
      </c>
    </row>
    <row r="29" spans="1:8" s="37" customFormat="1" ht="135" customHeight="1">
      <c r="A29" s="123">
        <v>8</v>
      </c>
      <c r="B29" s="88" t="s">
        <v>105</v>
      </c>
      <c r="C29" s="119" t="s">
        <v>108</v>
      </c>
      <c r="D29" s="65">
        <v>849.3954</v>
      </c>
      <c r="E29" s="65">
        <v>742.4467999999999</v>
      </c>
      <c r="F29" s="66">
        <v>11084.8008</v>
      </c>
      <c r="G29" s="65">
        <v>0</v>
      </c>
      <c r="H29" s="65">
        <v>12676.643</v>
      </c>
    </row>
    <row r="30" spans="1:12" s="37" customFormat="1" ht="33" customHeight="1">
      <c r="A30" s="120">
        <v>9</v>
      </c>
      <c r="B30" s="39"/>
      <c r="C30" s="47" t="s">
        <v>95</v>
      </c>
      <c r="D30" s="66">
        <v>169.87908000000002</v>
      </c>
      <c r="E30" s="66">
        <v>148.48936</v>
      </c>
      <c r="F30" s="66">
        <v>2216.96016</v>
      </c>
      <c r="G30" s="66">
        <v>0</v>
      </c>
      <c r="H30" s="65">
        <v>2535.3286000000003</v>
      </c>
      <c r="I30" s="67"/>
      <c r="J30" s="67"/>
      <c r="K30" s="67"/>
      <c r="L30" s="67"/>
    </row>
    <row r="31" spans="1:12" s="64" customFormat="1" ht="33" customHeight="1">
      <c r="A31" s="61">
        <v>10</v>
      </c>
      <c r="B31" s="62"/>
      <c r="C31" s="40" t="s">
        <v>114</v>
      </c>
      <c r="D31" s="41">
        <v>1019.27448</v>
      </c>
      <c r="E31" s="41">
        <v>890.93616</v>
      </c>
      <c r="F31" s="68">
        <v>13301.760960000001</v>
      </c>
      <c r="G31" s="41">
        <v>0</v>
      </c>
      <c r="H31" s="41">
        <v>15211.9716</v>
      </c>
      <c r="I31" s="69"/>
      <c r="J31" s="69"/>
      <c r="K31" s="69"/>
      <c r="L31" s="69"/>
    </row>
    <row r="32" spans="2:12" ht="13.5" hidden="1" outlineLevel="1">
      <c r="B32" s="71"/>
      <c r="C32" s="71"/>
      <c r="D32" s="76"/>
      <c r="E32" s="76"/>
      <c r="F32" s="76"/>
      <c r="G32" s="76"/>
      <c r="H32" s="76"/>
      <c r="I32" s="72"/>
      <c r="J32" s="72"/>
      <c r="K32" s="72"/>
      <c r="L32" s="72"/>
    </row>
    <row r="33" spans="2:8" ht="13.5" hidden="1" outlineLevel="1">
      <c r="B33" s="71"/>
      <c r="C33" s="71"/>
      <c r="D33" s="71"/>
      <c r="E33" s="71"/>
      <c r="F33" s="76"/>
      <c r="G33" s="71"/>
      <c r="H33" s="107"/>
    </row>
    <row r="34" spans="2:8" ht="59.25" customHeight="1" hidden="1" outlineLevel="1">
      <c r="B34" s="71"/>
      <c r="C34" s="71"/>
      <c r="D34" s="71"/>
      <c r="E34" s="71"/>
      <c r="F34" s="76"/>
      <c r="G34" s="71"/>
      <c r="H34" s="71"/>
    </row>
    <row r="35" spans="4:8" ht="13.5" collapsed="1">
      <c r="D35" s="108"/>
      <c r="E35" s="108"/>
      <c r="F35" s="108"/>
      <c r="G35" s="108"/>
      <c r="H35" s="108"/>
    </row>
    <row r="36" spans="4:8" ht="13.5" hidden="1" outlineLevel="1">
      <c r="D36" s="108"/>
      <c r="E36" s="108"/>
      <c r="F36" s="108"/>
      <c r="G36" s="108"/>
      <c r="H36" s="76"/>
    </row>
    <row r="37" spans="4:8" ht="13.5" collapsed="1">
      <c r="D37" s="108"/>
      <c r="E37" s="108"/>
      <c r="F37" s="108"/>
      <c r="G37" s="108"/>
      <c r="H37" s="108"/>
    </row>
  </sheetData>
  <sheetProtection/>
  <mergeCells count="14">
    <mergeCell ref="E4:E6"/>
    <mergeCell ref="F4:F6"/>
    <mergeCell ref="G4:G6"/>
    <mergeCell ref="A14:H14"/>
    <mergeCell ref="A20:H20"/>
    <mergeCell ref="A26:H26"/>
    <mergeCell ref="A1:H1"/>
    <mergeCell ref="A2:H2"/>
    <mergeCell ref="A3:A6"/>
    <mergeCell ref="B3:B6"/>
    <mergeCell ref="C3:C6"/>
    <mergeCell ref="D3:G3"/>
    <mergeCell ref="H3:H6"/>
    <mergeCell ref="D4:D6"/>
  </mergeCells>
  <printOptions horizontalCentered="1"/>
  <pageMargins left="0" right="0" top="0" bottom="0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2020-01-24T09:02:20Z</dcterms:modified>
  <cp:category/>
  <cp:version/>
  <cp:contentType/>
  <cp:contentStatus/>
</cp:coreProperties>
</file>