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2DC79F8F-C9F8-4325-A489-8D32CBB29DC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роектные работы (2)" sheetId="42" r:id="rId1"/>
    <sheet name="геодезия" sheetId="40" r:id="rId2"/>
    <sheet name="геология" sheetId="41" r:id="rId3"/>
    <sheet name="сведения" sheetId="39" r:id="rId4"/>
  </sheets>
  <definedNames>
    <definedName name="_xlnm.Print_Area" localSheetId="0">'Проектные работы (2)'!$A$1:$G$40</definedName>
    <definedName name="_xlnm.Print_Area" localSheetId="3">сведения!$A$1:$E$34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42" l="1"/>
  <c r="E9" i="40"/>
  <c r="E5" i="41"/>
  <c r="E8" i="40"/>
  <c r="E8" i="41"/>
  <c r="E16" i="41"/>
  <c r="E20" i="41" s="1"/>
  <c r="E7" i="40"/>
  <c r="E11" i="40" s="1"/>
  <c r="G24" i="42"/>
  <c r="G13" i="42"/>
  <c r="G27" i="42" s="1"/>
  <c r="G26" i="42" l="1"/>
  <c r="G20" i="42"/>
  <c r="G18" i="42"/>
  <c r="G17" i="42"/>
  <c r="E38" i="42" l="1"/>
  <c r="E40" i="42" s="1"/>
  <c r="D38" i="42"/>
  <c r="D40" i="42" s="1"/>
  <c r="G29" i="42"/>
  <c r="E10" i="39" s="1"/>
  <c r="G28" i="42" l="1"/>
  <c r="E9" i="39" s="1"/>
  <c r="G30" i="42" l="1"/>
  <c r="E14" i="41" l="1"/>
  <c r="E19" i="41" s="1"/>
  <c r="E17" i="41"/>
  <c r="E13" i="41"/>
  <c r="E18" i="41" s="1"/>
  <c r="E21" i="41" s="1"/>
  <c r="E7" i="41"/>
  <c r="E6" i="41"/>
  <c r="E12" i="40"/>
  <c r="E9" i="41" l="1"/>
  <c r="E11" i="41" s="1"/>
  <c r="E10" i="41"/>
  <c r="E8" i="39" l="1"/>
  <c r="E22" i="41"/>
  <c r="E23" i="41" s="1"/>
  <c r="G33" i="42" s="1"/>
  <c r="E14" i="40" l="1"/>
  <c r="E15" i="40" l="1"/>
  <c r="G32" i="42" s="1"/>
  <c r="G34" i="42" s="1"/>
  <c r="E24" i="41"/>
  <c r="E25" i="41" s="1"/>
  <c r="E16" i="40"/>
  <c r="E17" i="40" s="1"/>
  <c r="G38" i="42" l="1"/>
  <c r="G39" i="42" s="1"/>
  <c r="G40" i="42" s="1"/>
  <c r="E7" i="39"/>
  <c r="G34" i="39"/>
  <c r="E12" i="39" l="1"/>
  <c r="E19" i="39" l="1"/>
  <c r="E20" i="39" s="1"/>
</calcChain>
</file>

<file path=xl/sharedStrings.xml><?xml version="1.0" encoding="utf-8"?>
<sst xmlns="http://schemas.openxmlformats.org/spreadsheetml/2006/main" count="182" uniqueCount="152">
  <si>
    <t>№ п/п</t>
  </si>
  <si>
    <t>Характеристика предприятия. Здания,сооружения или видов работ</t>
  </si>
  <si>
    <t xml:space="preserve">Номер частей,глав,таблиц,процентов,параграфов и пунктов указаний к разделу Справочника базовых цен на проектные и изыскательские работы для строительства </t>
  </si>
  <si>
    <t>Расчет стоимости</t>
  </si>
  <si>
    <t>Итого:</t>
  </si>
  <si>
    <t>Всего:</t>
  </si>
  <si>
    <t>Экспертиза</t>
  </si>
  <si>
    <t>тыс.руб.</t>
  </si>
  <si>
    <t>Расчет №1</t>
  </si>
  <si>
    <t>Расчет №2</t>
  </si>
  <si>
    <t>ООС</t>
  </si>
  <si>
    <t>НДС 20%</t>
  </si>
  <si>
    <t>Подъездная дорога</t>
  </si>
  <si>
    <t>СБЦ "Автомобильные дороги общего назначения"</t>
  </si>
  <si>
    <t>т.2 п.1</t>
  </si>
  <si>
    <t>СБЦ "Коммунальные инженерные сети и сооружения"</t>
  </si>
  <si>
    <t>ИТОГО:</t>
  </si>
  <si>
    <t>ВСЕГО:</t>
  </si>
  <si>
    <t>Инженерные изыскания :</t>
  </si>
  <si>
    <t xml:space="preserve">геодезические </t>
  </si>
  <si>
    <t xml:space="preserve">геологические </t>
  </si>
  <si>
    <t>Итого Инженерные изыскания</t>
  </si>
  <si>
    <t>Проектные работы</t>
  </si>
  <si>
    <t>Проектная документация</t>
  </si>
  <si>
    <t>рабочая документация</t>
  </si>
  <si>
    <t>Итого : П+Р</t>
  </si>
  <si>
    <t>т.16 п.1</t>
  </si>
  <si>
    <t>т.17 п.1</t>
  </si>
  <si>
    <t>Расчет начальной (максимальной) цены на выполнение предпроектных, проектных и изыскательских работ по объекту :</t>
  </si>
  <si>
    <t>Освещение-0,1км</t>
  </si>
  <si>
    <t>СВЕДЕНИЯ</t>
  </si>
  <si>
    <t>№
п/п</t>
  </si>
  <si>
    <t>Наименование работ и затрат.</t>
  </si>
  <si>
    <t>Ед.изм.</t>
  </si>
  <si>
    <t>Кол-во</t>
  </si>
  <si>
    <t>Усл.ед.</t>
  </si>
  <si>
    <t>ИТОГО :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</si>
  <si>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</si>
  <si>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</si>
  <si>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о начальной (максимальной ) цене  единицы работ на проектирование объекта :</t>
  </si>
  <si>
    <t>Ст-ть, тыс.руб.</t>
  </si>
  <si>
    <t>Проектные работы, в т.ч.:</t>
  </si>
  <si>
    <t>проектная документация</t>
  </si>
  <si>
    <t>Изыскания</t>
  </si>
  <si>
    <t>НДС 18%</t>
  </si>
  <si>
    <t>НДС:</t>
  </si>
  <si>
    <t>№    п/п</t>
  </si>
  <si>
    <t>Стоимость,руб.</t>
  </si>
  <si>
    <t>Примечание</t>
  </si>
  <si>
    <t>1.</t>
  </si>
  <si>
    <t>СБЦ на инженерные изыскания для строительства.Инженерно-геодезические изыскания</t>
  </si>
  <si>
    <t>а)полевые</t>
  </si>
  <si>
    <t>б)камеральные</t>
  </si>
  <si>
    <t>2.</t>
  </si>
  <si>
    <t>Расходы по внутреннему транспорту</t>
  </si>
  <si>
    <t>т.4 п.1</t>
  </si>
  <si>
    <t>3.</t>
  </si>
  <si>
    <t>Расходы по внешнему транспорту</t>
  </si>
  <si>
    <t>То же , т.5  п.1</t>
  </si>
  <si>
    <t>4.</t>
  </si>
  <si>
    <t>Расходы на организацию и ликвидацию работ</t>
  </si>
  <si>
    <t>То же</t>
  </si>
  <si>
    <t>п.13, прим.1</t>
  </si>
  <si>
    <t>Итого базовая цена 2001г.</t>
  </si>
  <si>
    <t>Цена в текущих ценах</t>
  </si>
  <si>
    <t>НДС</t>
  </si>
  <si>
    <t xml:space="preserve">                                                                                                                                                                           </t>
  </si>
  <si>
    <t>СБЦ на инженерные изыскания для строительства.Инженерно-геологические изыскания т.21 п.1</t>
  </si>
  <si>
    <t xml:space="preserve">Гидрогеологические наблюдения при бурении скважины д до 160мм гл. до 15 м </t>
  </si>
  <si>
    <t>т.18 п.1</t>
  </si>
  <si>
    <t>Отбор монолитов  связных грунтов с глубины до 10м</t>
  </si>
  <si>
    <t>т.57 п.1</t>
  </si>
  <si>
    <t>Отбор проб воды</t>
  </si>
  <si>
    <t>т.60 п.2</t>
  </si>
  <si>
    <t>То же, т.4</t>
  </si>
  <si>
    <t>Расходы по внешнему транпорту</t>
  </si>
  <si>
    <t>То же ,т.5</t>
  </si>
  <si>
    <t>Исследование физ.-мех.свойств глинистых грунтов (лабораторные работы)</t>
  </si>
  <si>
    <t>т.63 п.1</t>
  </si>
  <si>
    <t>Определение физ.-мех.свойств песчаных грунтов (лабораторные работы)</t>
  </si>
  <si>
    <t>т.65 п.1</t>
  </si>
  <si>
    <t>Стандартный хим.анализ воды</t>
  </si>
  <si>
    <t>т.73</t>
  </si>
  <si>
    <t>Коррозионная активность грунтов по отношению к стали</t>
  </si>
  <si>
    <t>т.75 п.4</t>
  </si>
  <si>
    <t>Камеральная обработка данных лабор.исследований глинистых грунтов</t>
  </si>
  <si>
    <t>т.86 п.1</t>
  </si>
  <si>
    <t>Камеральная обработка данных лабор.исследований песчаных грунтов</t>
  </si>
  <si>
    <t>т.86 п.2</t>
  </si>
  <si>
    <t>Камеральная обработка данных лабор.исследований проб воды</t>
  </si>
  <si>
    <t>т.86 п.5</t>
  </si>
  <si>
    <t>Технический отчет</t>
  </si>
  <si>
    <t>т.87п.1</t>
  </si>
  <si>
    <t>Итого базовая цена 1995г.</t>
  </si>
  <si>
    <t xml:space="preserve"> </t>
  </si>
  <si>
    <t>Пожарное депо</t>
  </si>
  <si>
    <t>СБЦ на проектные работы для строительства "Объекты промышленности хим.волокон"</t>
  </si>
  <si>
    <t>т.3.п.1.73</t>
  </si>
  <si>
    <t>на 2 автомобиля</t>
  </si>
  <si>
    <t>Создание инженерно-топографических планов в М 1:500 с сечением рельефа 1,0 категория сложности 1 (незастроенная территория)</t>
  </si>
  <si>
    <t>т.9 п.7</t>
  </si>
  <si>
    <t>к=1,2 п.15д</t>
  </si>
  <si>
    <t>Сети электроснабжения 0,4 кВ</t>
  </si>
  <si>
    <t>Сети водоснабжения</t>
  </si>
  <si>
    <t>Сети канализации</t>
  </si>
  <si>
    <t>Сети связи</t>
  </si>
  <si>
    <t>Объекты связи</t>
  </si>
  <si>
    <t>т.6 п.6</t>
  </si>
  <si>
    <t>СБЦ "Объекты водрснабжения и канализации"</t>
  </si>
  <si>
    <t>(12+41+61)*18%</t>
  </si>
  <si>
    <t>58*20%</t>
  </si>
  <si>
    <t>273*15%</t>
  </si>
  <si>
    <t>404*15%</t>
  </si>
  <si>
    <t>к=0,2-0,8 п.3.2</t>
  </si>
  <si>
    <t xml:space="preserve">«Пожарное депо на 2 пожарных автомобиля на территории ОЭЗ ППТ «Липецк»
в Елецком районе Липецкой области»
</t>
  </si>
  <si>
    <t xml:space="preserve"> начальной (максимальной) цены на выполнение   изыскательских (геодезических ) работ по объекту: 
«Пожарное депо на 2 пожарных автомобиля на территории ОЭЗ ППТ «Липецк»
в Елецком районе Липецкой области»
</t>
  </si>
  <si>
    <t xml:space="preserve"> начальной (максимальной) цены на выполнение  изыскательских (геологических)  работ по объекту: 
«Пожарное депо на 2 пожарных автомобиля на территории ОЭЗ ППТ «Липецк»
в Елецком районе Липецкой области»
</t>
  </si>
  <si>
    <t>Инженерные изыскания</t>
  </si>
  <si>
    <t>СБЦ "Объекты водоснабжения и канализации"</t>
  </si>
  <si>
    <t>к=4,96 - коэф.инфляции 2кв.2022г.</t>
  </si>
  <si>
    <t>к=56,4 - коэф.инфляции  2 кв. 2022г.</t>
  </si>
  <si>
    <t>к=0,8- пониж.к, учитывающий снижение трудоемкости работ реального объекта по сравнению с объектом-аналогом,цены которого расчитаны для условий повышенной взрыво-пожароопасности.</t>
  </si>
  <si>
    <t>(682,8+142,8*2)*4,91*0,5*0,8</t>
  </si>
  <si>
    <t>6,15*4,91</t>
  </si>
  <si>
    <t>(4,54+10,46*0,1)*4,91</t>
  </si>
  <si>
    <t>(5,97+15,35*0,1)*4,91</t>
  </si>
  <si>
    <t>2,88*4,91</t>
  </si>
  <si>
    <t>21,32*4,91</t>
  </si>
  <si>
    <t>к=4,91- индекс изменения сметной стоимотси на II кв. 2022г.</t>
  </si>
  <si>
    <t>148,98*4,91*0,3</t>
  </si>
  <si>
    <t>к=0,3-полнота разработки</t>
  </si>
  <si>
    <t>Шнековое бурение скважин д146 (5штх5м,1шт-4,5м) Lобщ=29,5 м</t>
  </si>
  <si>
    <t>3,8 га</t>
  </si>
  <si>
    <t>1460*3,8</t>
  </si>
  <si>
    <t>398*3,8*1,2</t>
  </si>
  <si>
    <t>5548*8,75%</t>
  </si>
  <si>
    <t>(5548+485)*14%</t>
  </si>
  <si>
    <t>(5548+485)*6%*2,5</t>
  </si>
  <si>
    <t>9598*4,96</t>
  </si>
  <si>
    <t>8,4*29,5</t>
  </si>
  <si>
    <t>1,6*6</t>
  </si>
  <si>
    <t>22,9*6</t>
  </si>
  <si>
    <t>7,6*6</t>
  </si>
  <si>
    <t xml:space="preserve">(248+10+137+46)*8,75% </t>
  </si>
  <si>
    <t xml:space="preserve">(248+10+137+46)*14% </t>
  </si>
  <si>
    <t>(248+10+137+46+39)*6% *2,5</t>
  </si>
  <si>
    <t>9,7*6</t>
  </si>
  <si>
    <t>45,5*6</t>
  </si>
  <si>
    <t>67,3*6</t>
  </si>
  <si>
    <t>18,2*6</t>
  </si>
  <si>
    <t>1593*56,4</t>
  </si>
  <si>
    <t>к=0,5-привязка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</si>
</sst>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00000"/>
    <numFmt numFmtId="166" formatCode="0.000"/>
    <numFmt numFmtId="167" formatCode="_-* #,##0.00000_р_._-;\-* #,##0.00000_р_._-;_-* &quot;-&quot;?????_р_._-;_-@_-"/>
    <numFmt numFmtId="168" formatCode="0;[Red]0"/>
    <numFmt numFmtId="169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15">
      <alignment horizontal="center" vertical="center"/>
    </xf>
    <xf numFmtId="0" fontId="3" fillId="0" borderId="1">
      <alignment horizontal="center" vertical="center"/>
    </xf>
    <xf numFmtId="0" fontId="3" fillId="0" borderId="15">
      <alignment horizontal="center" vertical="center"/>
    </xf>
    <xf numFmtId="0" fontId="3" fillId="0" borderId="1">
      <alignment horizontal="center" vertical="center"/>
    </xf>
    <xf numFmtId="0" fontId="3" fillId="0" borderId="3">
      <alignment horizontal="center" vertical="center"/>
    </xf>
    <xf numFmtId="0" fontId="3" fillId="0" borderId="0">
      <alignment horizontal="right" vertical="top"/>
    </xf>
    <xf numFmtId="0" fontId="1" fillId="0" borderId="0"/>
  </cellStyleXfs>
  <cellXfs count="287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wrapText="1"/>
    </xf>
    <xf numFmtId="166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/>
    <xf numFmtId="164" fontId="4" fillId="2" borderId="0" xfId="0" applyNumberFormat="1" applyFont="1" applyFill="1" applyBorder="1"/>
    <xf numFmtId="2" fontId="4" fillId="2" borderId="0" xfId="0" applyNumberFormat="1" applyFont="1" applyFill="1" applyBorder="1"/>
    <xf numFmtId="2" fontId="7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/>
    <xf numFmtId="167" fontId="4" fillId="2" borderId="0" xfId="0" applyNumberFormat="1" applyFont="1" applyFill="1"/>
    <xf numFmtId="2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left" wrapText="1"/>
    </xf>
    <xf numFmtId="0" fontId="5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164" fontId="5" fillId="2" borderId="6" xfId="0" applyNumberFormat="1" applyFont="1" applyFill="1" applyBorder="1"/>
    <xf numFmtId="164" fontId="5" fillId="2" borderId="5" xfId="0" applyNumberFormat="1" applyFont="1" applyFill="1" applyBorder="1"/>
    <xf numFmtId="164" fontId="5" fillId="2" borderId="0" xfId="0" applyNumberFormat="1" applyFont="1" applyFill="1" applyBorder="1"/>
    <xf numFmtId="2" fontId="5" fillId="2" borderId="5" xfId="0" applyNumberFormat="1" applyFont="1" applyFill="1" applyBorder="1"/>
    <xf numFmtId="2" fontId="5" fillId="2" borderId="0" xfId="0" applyNumberFormat="1" applyFont="1" applyFill="1" applyBorder="1"/>
    <xf numFmtId="0" fontId="5" fillId="2" borderId="9" xfId="0" applyFont="1" applyFill="1" applyBorder="1" applyAlignment="1">
      <alignment wrapText="1"/>
    </xf>
    <xf numFmtId="164" fontId="5" fillId="2" borderId="8" xfId="0" applyNumberFormat="1" applyFont="1" applyFill="1" applyBorder="1"/>
    <xf numFmtId="0" fontId="5" fillId="2" borderId="5" xfId="0" applyFont="1" applyFill="1" applyBorder="1" applyAlignment="1">
      <alignment vertical="top"/>
    </xf>
    <xf numFmtId="164" fontId="5" fillId="2" borderId="4" xfId="0" applyNumberFormat="1" applyFont="1" applyFill="1" applyBorder="1"/>
    <xf numFmtId="0" fontId="10" fillId="2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164" fontId="5" fillId="2" borderId="0" xfId="0" applyNumberFormat="1" applyFont="1" applyFill="1"/>
    <xf numFmtId="2" fontId="5" fillId="2" borderId="0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/>
    </xf>
    <xf numFmtId="0" fontId="14" fillId="0" borderId="1" xfId="0" applyFont="1" applyFill="1" applyBorder="1" applyAlignment="1">
      <alignment wrapText="1"/>
    </xf>
    <xf numFmtId="0" fontId="5" fillId="2" borderId="20" xfId="0" applyFont="1" applyFill="1" applyBorder="1"/>
    <xf numFmtId="0" fontId="5" fillId="2" borderId="16" xfId="0" applyFont="1" applyFill="1" applyBorder="1" applyAlignment="1">
      <alignment wrapText="1"/>
    </xf>
    <xf numFmtId="164" fontId="5" fillId="2" borderId="29" xfId="0" applyNumberFormat="1" applyFont="1" applyFill="1" applyBorder="1"/>
    <xf numFmtId="164" fontId="5" fillId="2" borderId="16" xfId="0" applyNumberFormat="1" applyFont="1" applyFill="1" applyBorder="1"/>
    <xf numFmtId="0" fontId="6" fillId="2" borderId="1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vertical="top"/>
    </xf>
    <xf numFmtId="2" fontId="5" fillId="2" borderId="29" xfId="0" applyNumberFormat="1" applyFont="1" applyFill="1" applyBorder="1"/>
    <xf numFmtId="2" fontId="5" fillId="2" borderId="16" xfId="0" applyNumberFormat="1" applyFont="1" applyFill="1" applyBorder="1"/>
    <xf numFmtId="164" fontId="5" fillId="2" borderId="18" xfId="0" applyNumberFormat="1" applyFont="1" applyFill="1" applyBorder="1"/>
    <xf numFmtId="164" fontId="5" fillId="2" borderId="26" xfId="0" applyNumberFormat="1" applyFont="1" applyFill="1" applyBorder="1"/>
    <xf numFmtId="0" fontId="10" fillId="2" borderId="29" xfId="0" applyFont="1" applyFill="1" applyBorder="1"/>
    <xf numFmtId="0" fontId="5" fillId="2" borderId="18" xfId="0" applyFont="1" applyFill="1" applyBorder="1"/>
    <xf numFmtId="0" fontId="10" fillId="2" borderId="27" xfId="0" applyFont="1" applyFill="1" applyBorder="1"/>
    <xf numFmtId="0" fontId="10" fillId="2" borderId="16" xfId="0" applyFont="1" applyFill="1" applyBorder="1"/>
    <xf numFmtId="164" fontId="10" fillId="2" borderId="29" xfId="0" applyNumberFormat="1" applyFont="1" applyFill="1" applyBorder="1"/>
    <xf numFmtId="164" fontId="10" fillId="2" borderId="34" xfId="0" applyNumberFormat="1" applyFont="1" applyFill="1" applyBorder="1"/>
    <xf numFmtId="0" fontId="10" fillId="2" borderId="28" xfId="0" applyFont="1" applyFill="1" applyBorder="1"/>
    <xf numFmtId="2" fontId="5" fillId="2" borderId="1" xfId="0" applyNumberFormat="1" applyFont="1" applyFill="1" applyBorder="1" applyAlignment="1">
      <alignment horizontal="left" vertical="center"/>
    </xf>
    <xf numFmtId="1" fontId="10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5" fillId="2" borderId="13" xfId="0" applyFont="1" applyFill="1" applyBorder="1" applyAlignment="1">
      <alignment vertical="top" wrapText="1"/>
    </xf>
    <xf numFmtId="0" fontId="5" fillId="2" borderId="13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28" xfId="0" applyFont="1" applyFill="1" applyBorder="1" applyAlignment="1">
      <alignment wrapText="1"/>
    </xf>
    <xf numFmtId="0" fontId="5" fillId="2" borderId="29" xfId="0" applyFont="1" applyFill="1" applyBorder="1" applyAlignment="1">
      <alignment vertical="top" wrapText="1"/>
    </xf>
    <xf numFmtId="2" fontId="5" fillId="2" borderId="6" xfId="0" applyNumberFormat="1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/>
    </xf>
    <xf numFmtId="0" fontId="5" fillId="2" borderId="29" xfId="0" applyFont="1" applyFill="1" applyBorder="1"/>
    <xf numFmtId="1" fontId="5" fillId="2" borderId="6" xfId="0" applyNumberFormat="1" applyFont="1" applyFill="1" applyBorder="1" applyAlignment="1">
      <alignment vertical="top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/>
    </xf>
    <xf numFmtId="0" fontId="10" fillId="2" borderId="5" xfId="0" applyFont="1" applyFill="1" applyBorder="1"/>
    <xf numFmtId="0" fontId="10" fillId="2" borderId="13" xfId="0" applyFont="1" applyFill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0" fillId="0" borderId="1" xfId="5" applyNumberFormat="1" applyFont="1" applyFill="1" applyBorder="1" applyAlignment="1">
      <alignment horizontal="center" vertical="center" wrapText="1"/>
    </xf>
    <xf numFmtId="0" fontId="20" fillId="2" borderId="1" xfId="6" applyNumberFormat="1" applyFont="1" applyFill="1" applyBorder="1" applyAlignment="1">
      <alignment horizontal="center" vertical="center" wrapText="1"/>
    </xf>
    <xf numFmtId="0" fontId="20" fillId="0" borderId="6" xfId="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3" fillId="0" borderId="1" xfId="8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5" fillId="0" borderId="0" xfId="0" applyFont="1"/>
    <xf numFmtId="0" fontId="21" fillId="0" borderId="0" xfId="0" applyFont="1" applyAlignment="1">
      <alignment horizontal="left"/>
    </xf>
    <xf numFmtId="0" fontId="19" fillId="0" borderId="0" xfId="0" applyFont="1"/>
    <xf numFmtId="0" fontId="26" fillId="2" borderId="6" xfId="6" applyNumberFormat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27" fillId="0" borderId="1" xfId="0" applyFont="1" applyBorder="1" applyAlignment="1">
      <alignment wrapText="1"/>
    </xf>
    <xf numFmtId="0" fontId="18" fillId="0" borderId="1" xfId="0" applyFont="1" applyBorder="1"/>
    <xf numFmtId="0" fontId="10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/>
    <xf numFmtId="0" fontId="4" fillId="0" borderId="0" xfId="0" applyFont="1"/>
    <xf numFmtId="0" fontId="7" fillId="2" borderId="0" xfId="0" applyFont="1" applyFill="1" applyBorder="1" applyAlignment="1">
      <alignment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4" fillId="0" borderId="17" xfId="0" applyFont="1" applyBorder="1"/>
    <xf numFmtId="0" fontId="12" fillId="0" borderId="18" xfId="0" applyFont="1" applyBorder="1" applyAlignment="1">
      <alignment wrapText="1"/>
    </xf>
    <xf numFmtId="0" fontId="4" fillId="0" borderId="18" xfId="0" applyFont="1" applyBorder="1" applyAlignment="1">
      <alignment vertical="top" wrapText="1"/>
    </xf>
    <xf numFmtId="168" fontId="4" fillId="0" borderId="18" xfId="0" applyNumberFormat="1" applyFont="1" applyBorder="1" applyAlignment="1">
      <alignment vertical="top" wrapText="1"/>
    </xf>
    <xf numFmtId="0" fontId="4" fillId="0" borderId="20" xfId="0" applyFont="1" applyBorder="1"/>
    <xf numFmtId="0" fontId="12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168" fontId="4" fillId="0" borderId="5" xfId="0" applyNumberFormat="1" applyFont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0" fontId="4" fillId="0" borderId="0" xfId="0" applyFont="1" applyBorder="1"/>
    <xf numFmtId="3" fontId="4" fillId="0" borderId="5" xfId="0" applyNumberFormat="1" applyFont="1" applyBorder="1" applyAlignment="1">
      <alignment vertical="top" wrapText="1"/>
    </xf>
    <xf numFmtId="0" fontId="4" fillId="0" borderId="22" xfId="0" applyFont="1" applyBorder="1"/>
    <xf numFmtId="0" fontId="5" fillId="0" borderId="7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" fontId="4" fillId="0" borderId="6" xfId="0" applyNumberFormat="1" applyFont="1" applyBorder="1" applyAlignment="1">
      <alignment vertical="top" wrapText="1"/>
    </xf>
    <xf numFmtId="3" fontId="4" fillId="2" borderId="6" xfId="0" applyNumberFormat="1" applyFont="1" applyFill="1" applyBorder="1" applyAlignment="1">
      <alignment vertical="top" wrapText="1"/>
    </xf>
    <xf numFmtId="0" fontId="4" fillId="0" borderId="24" xfId="0" applyFont="1" applyBorder="1" applyAlignment="1">
      <alignment horizontal="center" wrapText="1"/>
    </xf>
    <xf numFmtId="0" fontId="5" fillId="0" borderId="0" xfId="0" applyFont="1"/>
    <xf numFmtId="0" fontId="4" fillId="0" borderId="23" xfId="0" applyFont="1" applyBorder="1" applyAlignment="1">
      <alignment horizontal="center" wrapText="1"/>
    </xf>
    <xf numFmtId="0" fontId="4" fillId="0" borderId="38" xfId="0" applyFont="1" applyBorder="1"/>
    <xf numFmtId="0" fontId="5" fillId="0" borderId="6" xfId="0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wrapText="1"/>
    </xf>
    <xf numFmtId="3" fontId="4" fillId="0" borderId="5" xfId="0" applyNumberFormat="1" applyFont="1" applyBorder="1" applyAlignment="1">
      <alignment vertical="top" wrapText="1"/>
    </xf>
    <xf numFmtId="0" fontId="4" fillId="0" borderId="39" xfId="0" applyFont="1" applyBorder="1"/>
    <xf numFmtId="0" fontId="5" fillId="0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4" fillId="0" borderId="25" xfId="0" applyFont="1" applyBorder="1" applyAlignment="1">
      <alignment wrapText="1"/>
    </xf>
    <xf numFmtId="1" fontId="4" fillId="0" borderId="0" xfId="0" applyNumberFormat="1" applyFont="1"/>
    <xf numFmtId="0" fontId="12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4" fontId="4" fillId="0" borderId="0" xfId="0" applyNumberFormat="1" applyFont="1" applyBorder="1"/>
    <xf numFmtId="0" fontId="14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9" fontId="4" fillId="0" borderId="1" xfId="0" applyNumberFormat="1" applyFont="1" applyBorder="1" applyAlignment="1">
      <alignment horizontal="left" wrapText="1"/>
    </xf>
    <xf numFmtId="0" fontId="4" fillId="0" borderId="40" xfId="0" applyFont="1" applyBorder="1"/>
    <xf numFmtId="0" fontId="14" fillId="0" borderId="41" xfId="0" applyFont="1" applyFill="1" applyBorder="1" applyAlignment="1">
      <alignment vertical="top" wrapText="1"/>
    </xf>
    <xf numFmtId="0" fontId="12" fillId="0" borderId="41" xfId="0" applyFont="1" applyBorder="1" applyAlignment="1">
      <alignment wrapText="1"/>
    </xf>
    <xf numFmtId="0" fontId="4" fillId="0" borderId="41" xfId="0" applyFont="1" applyBorder="1" applyAlignment="1">
      <alignment wrapText="1"/>
    </xf>
    <xf numFmtId="3" fontId="6" fillId="0" borderId="41" xfId="0" applyNumberFormat="1" applyFont="1" applyBorder="1" applyAlignment="1">
      <alignment wrapText="1"/>
    </xf>
    <xf numFmtId="0" fontId="4" fillId="0" borderId="42" xfId="0" applyFont="1" applyBorder="1" applyAlignment="1">
      <alignment wrapText="1"/>
    </xf>
    <xf numFmtId="4" fontId="4" fillId="0" borderId="0" xfId="0" applyNumberFormat="1" applyFont="1"/>
    <xf numFmtId="0" fontId="5" fillId="0" borderId="7" xfId="0" applyFont="1" applyFill="1" applyBorder="1" applyAlignment="1">
      <alignment vertical="top" wrapText="1"/>
    </xf>
    <xf numFmtId="0" fontId="4" fillId="0" borderId="0" xfId="0" applyFont="1" applyAlignment="1"/>
    <xf numFmtId="0" fontId="4" fillId="0" borderId="0" xfId="0" applyFont="1" applyFill="1"/>
    <xf numFmtId="0" fontId="10" fillId="2" borderId="0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/>
    </xf>
    <xf numFmtId="0" fontId="12" fillId="0" borderId="5" xfId="0" applyFont="1" applyFill="1" applyBorder="1" applyAlignment="1">
      <alignment wrapText="1"/>
    </xf>
    <xf numFmtId="1" fontId="4" fillId="0" borderId="5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1" fontId="4" fillId="0" borderId="7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/>
    </xf>
    <xf numFmtId="0" fontId="5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1" fontId="4" fillId="0" borderId="6" xfId="0" applyNumberFormat="1" applyFont="1" applyFill="1" applyBorder="1" applyAlignment="1">
      <alignment vertical="top" wrapText="1"/>
    </xf>
    <xf numFmtId="0" fontId="12" fillId="0" borderId="7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4" fillId="0" borderId="0" xfId="0" applyFont="1" applyFill="1" applyBorder="1"/>
    <xf numFmtId="0" fontId="12" fillId="0" borderId="3" xfId="0" applyFont="1" applyFill="1" applyBorder="1" applyAlignment="1">
      <alignment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1" fontId="4" fillId="0" borderId="0" xfId="0" applyNumberFormat="1" applyFont="1" applyFill="1"/>
    <xf numFmtId="1" fontId="6" fillId="0" borderId="0" xfId="0" applyNumberFormat="1" applyFont="1" applyFill="1"/>
    <xf numFmtId="4" fontId="4" fillId="0" borderId="0" xfId="0" applyNumberFormat="1" applyFont="1" applyFill="1"/>
    <xf numFmtId="2" fontId="4" fillId="0" borderId="0" xfId="0" applyNumberFormat="1" applyFont="1" applyFill="1" applyBorder="1"/>
    <xf numFmtId="0" fontId="5" fillId="2" borderId="7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horizontal="center" wrapText="1"/>
    </xf>
    <xf numFmtId="2" fontId="5" fillId="2" borderId="6" xfId="0" applyNumberFormat="1" applyFont="1" applyFill="1" applyBorder="1" applyAlignment="1">
      <alignment horizont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top" wrapText="1"/>
    </xf>
    <xf numFmtId="2" fontId="8" fillId="2" borderId="16" xfId="0" applyNumberFormat="1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top" wrapText="1"/>
    </xf>
    <xf numFmtId="0" fontId="5" fillId="2" borderId="32" xfId="0" applyFont="1" applyFill="1" applyBorder="1" applyAlignment="1">
      <alignment wrapText="1"/>
    </xf>
    <xf numFmtId="0" fontId="5" fillId="2" borderId="26" xfId="0" applyFont="1" applyFill="1" applyBorder="1" applyAlignment="1">
      <alignment horizontal="left"/>
    </xf>
    <xf numFmtId="0" fontId="15" fillId="2" borderId="29" xfId="0" applyFont="1" applyFill="1" applyBorder="1"/>
    <xf numFmtId="0" fontId="5" fillId="2" borderId="26" xfId="0" applyFont="1" applyFill="1" applyBorder="1" applyAlignment="1">
      <alignment wrapText="1"/>
    </xf>
    <xf numFmtId="0" fontId="10" fillId="2" borderId="18" xfId="0" applyFont="1" applyFill="1" applyBorder="1"/>
    <xf numFmtId="164" fontId="10" fillId="2" borderId="6" xfId="0" applyNumberFormat="1" applyFont="1" applyFill="1" applyBorder="1"/>
    <xf numFmtId="164" fontId="10" fillId="2" borderId="9" xfId="0" applyNumberFormat="1" applyFont="1" applyFill="1" applyBorder="1"/>
    <xf numFmtId="0" fontId="15" fillId="2" borderId="6" xfId="0" applyFont="1" applyFill="1" applyBorder="1"/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8" fillId="2" borderId="30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2" fontId="8" fillId="2" borderId="24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30" xfId="0" applyNumberFormat="1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2" fontId="18" fillId="2" borderId="0" xfId="0" applyNumberFormat="1" applyFont="1" applyFill="1" applyAlignment="1">
      <alignment horizontal="center"/>
    </xf>
    <xf numFmtId="2" fontId="25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vertical="top"/>
    </xf>
    <xf numFmtId="169" fontId="4" fillId="2" borderId="0" xfId="0" applyNumberFormat="1" applyFont="1" applyFill="1"/>
    <xf numFmtId="1" fontId="5" fillId="2" borderId="0" xfId="0" applyNumberFormat="1" applyFont="1" applyFill="1" applyBorder="1" applyAlignment="1">
      <alignment horizontal="center" wrapText="1"/>
    </xf>
    <xf numFmtId="1" fontId="5" fillId="2" borderId="0" xfId="0" applyNumberFormat="1" applyFont="1" applyFill="1" applyBorder="1" applyAlignment="1">
      <alignment horizontal="center" vertical="center"/>
    </xf>
    <xf numFmtId="0" fontId="4" fillId="2" borderId="12" xfId="0" applyFont="1" applyFill="1" applyBorder="1"/>
    <xf numFmtId="0" fontId="8" fillId="2" borderId="12" xfId="0" applyFont="1" applyFill="1" applyBorder="1" applyAlignment="1">
      <alignment horizontal="right"/>
    </xf>
    <xf numFmtId="1" fontId="10" fillId="2" borderId="18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4" fontId="4" fillId="0" borderId="6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4" fillId="0" borderId="24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2" borderId="1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vertical="top" wrapText="1"/>
    </xf>
    <xf numFmtId="1" fontId="4" fillId="0" borderId="7" xfId="0" applyNumberFormat="1" applyFont="1" applyFill="1" applyBorder="1" applyAlignment="1">
      <alignment vertical="top" wrapText="1"/>
    </xf>
    <xf numFmtId="0" fontId="21" fillId="0" borderId="0" xfId="0" applyNumberFormat="1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top" wrapText="1"/>
    </xf>
    <xf numFmtId="0" fontId="20" fillId="0" borderId="6" xfId="3" quotePrefix="1" applyFont="1" applyFill="1" applyBorder="1" applyAlignment="1">
      <alignment horizontal="center" vertical="center" wrapText="1"/>
    </xf>
    <xf numFmtId="0" fontId="20" fillId="0" borderId="7" xfId="3" quotePrefix="1" applyFont="1" applyFill="1" applyBorder="1" applyAlignment="1">
      <alignment horizontal="center" vertical="center" wrapText="1"/>
    </xf>
    <xf numFmtId="0" fontId="20" fillId="2" borderId="6" xfId="4" quotePrefix="1" applyFont="1" applyFill="1" applyBorder="1" applyAlignment="1">
      <alignment horizontal="center" vertical="center" wrapText="1"/>
    </xf>
    <xf numFmtId="0" fontId="20" fillId="2" borderId="7" xfId="4" quotePrefix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wrapText="1"/>
    </xf>
    <xf numFmtId="0" fontId="23" fillId="0" borderId="0" xfId="2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left" vertical="center" wrapText="1"/>
    </xf>
  </cellXfs>
  <cellStyles count="10">
    <cellStyle name="S0" xfId="2" xr:uid="{00000000-0005-0000-0000-000000000000}"/>
    <cellStyle name="S12" xfId="4" xr:uid="{00000000-0005-0000-0000-000001000000}"/>
    <cellStyle name="S14" xfId="3" xr:uid="{00000000-0005-0000-0000-000002000000}"/>
    <cellStyle name="S16" xfId="5" xr:uid="{00000000-0005-0000-0000-000003000000}"/>
    <cellStyle name="S17" xfId="6" xr:uid="{00000000-0005-0000-0000-000004000000}"/>
    <cellStyle name="S18" xfId="7" xr:uid="{00000000-0005-0000-0000-000005000000}"/>
    <cellStyle name="S22" xfId="8" xr:uid="{00000000-0005-0000-0000-000006000000}"/>
    <cellStyle name="Обычный" xfId="0" builtinId="0"/>
    <cellStyle name="Обычный 2" xfId="9" xr:uid="{00000000-0005-0000-0000-000008000000}"/>
    <cellStyle name="Обычный 2 2" xfId="1" xr:uid="{00000000-0005-0000-0000-000009000000}"/>
  </cellStyles>
  <dxfs count="0"/>
  <tableStyles count="0" defaultTableStyle="TableStyleMedium9" defaultPivotStyle="PivotStyleLight16"/>
  <colors>
    <mruColors>
      <color rgb="FF8B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BF729"/>
    <pageSetUpPr fitToPage="1"/>
  </sheetPr>
  <dimension ref="A1:P42"/>
  <sheetViews>
    <sheetView view="pageBreakPreview" zoomScaleNormal="100" zoomScaleSheetLayoutView="100" workbookViewId="0">
      <selection activeCell="I8" sqref="I8"/>
    </sheetView>
  </sheetViews>
  <sheetFormatPr defaultRowHeight="15" outlineLevelRow="1" outlineLevelCol="1" x14ac:dyDescent="0.25"/>
  <cols>
    <col min="1" max="1" width="11" style="1" customWidth="1"/>
    <col min="2" max="2" width="50" style="1" customWidth="1"/>
    <col min="3" max="3" width="61.140625" style="1" customWidth="1"/>
    <col min="4" max="4" width="15.42578125" style="1" hidden="1" customWidth="1" outlineLevel="1"/>
    <col min="5" max="5" width="15.5703125" style="1" hidden="1" customWidth="1" outlineLevel="1"/>
    <col min="6" max="6" width="48.7109375" style="1" customWidth="1" outlineLevel="1"/>
    <col min="7" max="11" width="15.5703125" style="1" customWidth="1"/>
    <col min="12" max="13" width="18.28515625" style="1" customWidth="1"/>
    <col min="14" max="16" width="9.140625" style="1" customWidth="1"/>
    <col min="17" max="16384" width="9.140625" style="1"/>
  </cols>
  <sheetData>
    <row r="1" spans="1:15" ht="18.75" customHeight="1" x14ac:dyDescent="0.25">
      <c r="A1" s="2"/>
      <c r="B1" s="2"/>
      <c r="C1" s="2"/>
      <c r="D1" s="2"/>
      <c r="E1" s="2"/>
      <c r="F1" s="2"/>
      <c r="G1" s="246"/>
      <c r="H1" s="2"/>
      <c r="I1" s="2"/>
      <c r="J1" s="2"/>
      <c r="K1" s="2"/>
      <c r="L1" s="2"/>
      <c r="M1" s="2"/>
    </row>
    <row r="2" spans="1:15" s="4" customFormat="1" ht="35.25" customHeight="1" x14ac:dyDescent="0.2">
      <c r="A2" s="251" t="s">
        <v>28</v>
      </c>
      <c r="B2" s="251"/>
      <c r="C2" s="251"/>
      <c r="D2" s="251"/>
      <c r="E2" s="251"/>
      <c r="F2" s="251"/>
      <c r="G2" s="252"/>
      <c r="H2" s="3"/>
      <c r="I2" s="3"/>
      <c r="J2" s="3"/>
      <c r="K2" s="3"/>
      <c r="L2" s="3"/>
      <c r="M2" s="3"/>
    </row>
    <row r="3" spans="1:15" s="4" customFormat="1" ht="49.5" customHeight="1" x14ac:dyDescent="0.2">
      <c r="A3" s="253" t="s">
        <v>114</v>
      </c>
      <c r="B3" s="253"/>
      <c r="C3" s="253"/>
      <c r="D3" s="253"/>
      <c r="E3" s="253"/>
      <c r="F3" s="253"/>
      <c r="G3" s="254"/>
      <c r="H3" s="5"/>
      <c r="I3" s="5"/>
      <c r="J3" s="5"/>
      <c r="K3" s="5"/>
      <c r="L3" s="5"/>
      <c r="M3" s="5"/>
    </row>
    <row r="4" spans="1:15" ht="19.5" customHeight="1" x14ac:dyDescent="0.35">
      <c r="A4" s="255"/>
      <c r="B4" s="255"/>
      <c r="C4" s="255"/>
      <c r="D4" s="255"/>
      <c r="E4" s="255"/>
      <c r="F4" s="255"/>
      <c r="G4" s="256"/>
      <c r="H4" s="6"/>
      <c r="I4" s="6"/>
      <c r="J4" s="6"/>
      <c r="K4" s="6"/>
      <c r="L4" s="2"/>
      <c r="M4" s="2"/>
    </row>
    <row r="5" spans="1:15" ht="19.5" customHeight="1" thickBot="1" x14ac:dyDescent="0.4">
      <c r="A5" s="2"/>
      <c r="B5" s="2"/>
      <c r="C5" s="77"/>
      <c r="D5" s="2"/>
      <c r="E5" s="2"/>
      <c r="F5" s="2"/>
      <c r="G5" s="247" t="s">
        <v>7</v>
      </c>
      <c r="H5" s="6"/>
      <c r="I5" s="6"/>
      <c r="J5" s="6"/>
      <c r="K5" s="6"/>
      <c r="L5" s="2"/>
      <c r="M5" s="2"/>
    </row>
    <row r="6" spans="1:15" ht="58.5" customHeight="1" thickBot="1" x14ac:dyDescent="0.3">
      <c r="A6" s="56" t="s">
        <v>0</v>
      </c>
      <c r="B6" s="78" t="s">
        <v>1</v>
      </c>
      <c r="C6" s="57" t="s">
        <v>2</v>
      </c>
      <c r="D6" s="58"/>
      <c r="E6" s="58"/>
      <c r="F6" s="59" t="s">
        <v>3</v>
      </c>
      <c r="G6" s="59" t="s">
        <v>5</v>
      </c>
      <c r="H6" s="7"/>
      <c r="I6" s="7"/>
      <c r="J6" s="7"/>
      <c r="K6" s="7"/>
      <c r="L6" s="8"/>
      <c r="M6" s="8"/>
      <c r="N6" s="2"/>
      <c r="O6" s="2"/>
    </row>
    <row r="7" spans="1:15" ht="19.5" x14ac:dyDescent="0.25">
      <c r="A7" s="56"/>
      <c r="B7" s="212" t="s">
        <v>22</v>
      </c>
      <c r="C7" s="57"/>
      <c r="D7" s="58"/>
      <c r="E7" s="58"/>
      <c r="F7" s="59"/>
      <c r="G7" s="248"/>
      <c r="H7" s="7"/>
      <c r="I7" s="7"/>
      <c r="J7" s="7"/>
      <c r="K7" s="73"/>
      <c r="L7" s="8"/>
      <c r="M7" s="8"/>
      <c r="N7" s="2"/>
      <c r="O7" s="2"/>
    </row>
    <row r="8" spans="1:15" ht="33.75" customHeight="1" x14ac:dyDescent="0.25">
      <c r="A8" s="23">
        <v>1</v>
      </c>
      <c r="B8" s="47" t="s">
        <v>95</v>
      </c>
      <c r="C8" s="82" t="s">
        <v>96</v>
      </c>
      <c r="D8" s="24"/>
      <c r="E8" s="24"/>
      <c r="F8" s="25"/>
      <c r="G8" s="249"/>
      <c r="H8" s="9"/>
      <c r="I8" s="9"/>
      <c r="J8" s="9"/>
      <c r="K8" s="9"/>
      <c r="L8" s="10"/>
      <c r="M8" s="74"/>
      <c r="N8" s="2"/>
      <c r="O8" s="2"/>
    </row>
    <row r="9" spans="1:15" ht="15.75" x14ac:dyDescent="0.25">
      <c r="A9" s="40"/>
      <c r="B9" s="48" t="s">
        <v>98</v>
      </c>
      <c r="C9" s="81" t="s">
        <v>97</v>
      </c>
      <c r="D9" s="24"/>
      <c r="E9" s="24"/>
      <c r="F9" s="24"/>
      <c r="G9" s="249"/>
      <c r="H9" s="9"/>
      <c r="I9" s="9"/>
      <c r="J9" s="9"/>
      <c r="K9" s="9"/>
      <c r="L9" s="10"/>
      <c r="M9" s="74"/>
      <c r="N9" s="2"/>
      <c r="O9" s="2"/>
    </row>
    <row r="10" spans="1:15" ht="15.75" x14ac:dyDescent="0.25">
      <c r="A10" s="40"/>
      <c r="B10" s="48"/>
      <c r="C10" s="213" t="s">
        <v>113</v>
      </c>
      <c r="D10" s="24"/>
      <c r="E10" s="24"/>
      <c r="F10" s="24"/>
      <c r="G10" s="249"/>
      <c r="H10" s="9"/>
      <c r="I10" s="9"/>
      <c r="J10" s="9"/>
      <c r="K10" s="9"/>
      <c r="L10" s="10"/>
      <c r="M10" s="74"/>
      <c r="N10" s="2"/>
      <c r="O10" s="2"/>
    </row>
    <row r="11" spans="1:15" ht="21" customHeight="1" x14ac:dyDescent="0.25">
      <c r="A11" s="40"/>
      <c r="B11" s="48"/>
      <c r="C11" s="213" t="s">
        <v>128</v>
      </c>
      <c r="D11" s="24"/>
      <c r="E11" s="24"/>
      <c r="F11" s="24"/>
      <c r="G11" s="249"/>
      <c r="H11" s="9"/>
      <c r="I11" s="9"/>
      <c r="J11" s="9"/>
      <c r="K11" s="9"/>
      <c r="L11" s="10"/>
      <c r="M11" s="74"/>
      <c r="N11" s="2"/>
      <c r="O11" s="2"/>
    </row>
    <row r="12" spans="1:15" ht="21" customHeight="1" x14ac:dyDescent="0.25">
      <c r="A12" s="40"/>
      <c r="B12" s="48"/>
      <c r="C12" s="213" t="s">
        <v>151</v>
      </c>
      <c r="D12" s="24"/>
      <c r="E12" s="24"/>
      <c r="F12" s="24"/>
      <c r="G12" s="249"/>
      <c r="H12" s="9"/>
      <c r="I12" s="9"/>
      <c r="J12" s="9"/>
      <c r="K12" s="9"/>
      <c r="L12" s="10"/>
      <c r="M12" s="74"/>
      <c r="N12" s="2"/>
      <c r="O12" s="2"/>
    </row>
    <row r="13" spans="1:15" ht="63" x14ac:dyDescent="0.25">
      <c r="A13" s="242"/>
      <c r="B13" s="207"/>
      <c r="C13" s="93" t="s">
        <v>121</v>
      </c>
      <c r="D13" s="29"/>
      <c r="E13" s="29"/>
      <c r="F13" s="29" t="s">
        <v>122</v>
      </c>
      <c r="G13" s="250">
        <f>(682.8+142.8*2)*4.91*0.5*0.8</f>
        <v>1901.94</v>
      </c>
      <c r="H13" s="9"/>
      <c r="I13" s="9"/>
      <c r="J13" s="9"/>
      <c r="K13" s="9"/>
      <c r="L13" s="10"/>
      <c r="M13" s="74"/>
      <c r="N13" s="2"/>
      <c r="O13" s="2"/>
    </row>
    <row r="14" spans="1:15" ht="15.75" x14ac:dyDescent="0.25">
      <c r="A14" s="94">
        <v>2</v>
      </c>
      <c r="B14" s="47" t="s">
        <v>102</v>
      </c>
      <c r="C14" s="83" t="s">
        <v>15</v>
      </c>
      <c r="D14" s="25"/>
      <c r="E14" s="25"/>
      <c r="F14" s="76"/>
      <c r="G14" s="92"/>
      <c r="H14" s="9"/>
      <c r="I14" s="9"/>
      <c r="J14" s="9"/>
      <c r="K14" s="9"/>
      <c r="L14" s="10"/>
      <c r="M14" s="244"/>
      <c r="N14" s="2"/>
      <c r="O14" s="2"/>
    </row>
    <row r="15" spans="1:15" ht="15.75" x14ac:dyDescent="0.25">
      <c r="A15" s="26"/>
      <c r="B15" s="48"/>
      <c r="C15" s="81" t="s">
        <v>69</v>
      </c>
      <c r="D15" s="24"/>
      <c r="E15" s="24"/>
      <c r="F15" s="24" t="s">
        <v>123</v>
      </c>
      <c r="G15" s="80">
        <f>6.15*4.91</f>
        <v>30</v>
      </c>
      <c r="H15" s="9"/>
      <c r="I15" s="9"/>
      <c r="J15" s="9"/>
      <c r="K15" s="9"/>
      <c r="L15" s="10"/>
      <c r="M15" s="74"/>
      <c r="N15" s="2"/>
      <c r="O15" s="2"/>
    </row>
    <row r="16" spans="1:15" ht="15.75" x14ac:dyDescent="0.25">
      <c r="A16" s="30"/>
      <c r="B16" s="47"/>
      <c r="C16" s="82" t="s">
        <v>118</v>
      </c>
      <c r="D16" s="49"/>
      <c r="E16" s="49"/>
      <c r="F16" s="25"/>
      <c r="G16" s="209"/>
      <c r="H16" s="9"/>
      <c r="I16" s="9"/>
      <c r="J16" s="9"/>
      <c r="K16" s="9"/>
      <c r="L16" s="10"/>
      <c r="M16" s="74"/>
      <c r="N16" s="2"/>
      <c r="O16" s="2"/>
    </row>
    <row r="17" spans="1:16" ht="35.25" customHeight="1" outlineLevel="1" x14ac:dyDescent="0.25">
      <c r="A17" s="242">
        <v>3</v>
      </c>
      <c r="B17" s="207" t="s">
        <v>103</v>
      </c>
      <c r="C17" s="207" t="s">
        <v>26</v>
      </c>
      <c r="D17" s="49"/>
      <c r="E17" s="49"/>
      <c r="F17" s="32" t="s">
        <v>124</v>
      </c>
      <c r="G17" s="210">
        <f>(4.54+10.46*0.1)*4.91</f>
        <v>27.43</v>
      </c>
      <c r="H17" s="11"/>
      <c r="I17" s="9"/>
      <c r="J17" s="11"/>
      <c r="K17" s="74"/>
      <c r="L17" s="13"/>
      <c r="M17" s="244"/>
      <c r="N17" s="2"/>
      <c r="O17" s="2"/>
    </row>
    <row r="18" spans="1:16" ht="25.5" customHeight="1" outlineLevel="1" x14ac:dyDescent="0.25">
      <c r="A18" s="30">
        <v>4</v>
      </c>
      <c r="B18" s="25" t="s">
        <v>104</v>
      </c>
      <c r="C18" s="82" t="s">
        <v>108</v>
      </c>
      <c r="D18" s="25"/>
      <c r="E18" s="25"/>
      <c r="F18" s="31" t="s">
        <v>125</v>
      </c>
      <c r="G18" s="211">
        <f>(5.97+15.35*0.1)*4.91</f>
        <v>36.85</v>
      </c>
      <c r="H18" s="11"/>
      <c r="I18" s="9"/>
      <c r="J18" s="11"/>
      <c r="K18" s="74"/>
      <c r="L18" s="13"/>
      <c r="M18" s="244"/>
      <c r="N18" s="2"/>
      <c r="O18" s="2"/>
    </row>
    <row r="19" spans="1:16" ht="15.75" outlineLevel="1" x14ac:dyDescent="0.25">
      <c r="A19" s="28"/>
      <c r="B19" s="29"/>
      <c r="C19" s="93" t="s">
        <v>27</v>
      </c>
      <c r="D19" s="29"/>
      <c r="E19" s="29"/>
      <c r="F19" s="32"/>
      <c r="G19" s="79"/>
      <c r="H19" s="11"/>
      <c r="I19" s="9"/>
      <c r="J19" s="11"/>
      <c r="K19" s="74"/>
      <c r="L19" s="13"/>
      <c r="M19" s="244"/>
      <c r="N19" s="2"/>
      <c r="O19" s="2"/>
    </row>
    <row r="20" spans="1:16" ht="15.75" outlineLevel="1" x14ac:dyDescent="0.25">
      <c r="A20" s="26">
        <v>5</v>
      </c>
      <c r="B20" s="24" t="s">
        <v>105</v>
      </c>
      <c r="C20" s="81" t="s">
        <v>106</v>
      </c>
      <c r="D20" s="24"/>
      <c r="E20" s="24"/>
      <c r="F20" s="27" t="s">
        <v>126</v>
      </c>
      <c r="G20" s="208">
        <f>2.88*4.91</f>
        <v>14.14</v>
      </c>
      <c r="H20" s="11"/>
      <c r="I20" s="9"/>
      <c r="J20" s="11"/>
      <c r="K20" s="11"/>
      <c r="L20" s="13"/>
      <c r="M20" s="74"/>
      <c r="N20" s="2"/>
      <c r="O20" s="2"/>
    </row>
    <row r="21" spans="1:16" ht="15.75" outlineLevel="1" x14ac:dyDescent="0.25">
      <c r="A21" s="26"/>
      <c r="B21" s="24"/>
      <c r="C21" s="24" t="s">
        <v>107</v>
      </c>
      <c r="D21" s="81"/>
      <c r="E21" s="24"/>
      <c r="F21" s="27"/>
      <c r="G21" s="80"/>
      <c r="H21" s="12"/>
      <c r="I21" s="9"/>
      <c r="J21" s="12"/>
      <c r="K21" s="12"/>
      <c r="L21" s="13"/>
      <c r="M21" s="244"/>
      <c r="N21" s="2"/>
      <c r="O21" s="2"/>
    </row>
    <row r="22" spans="1:16" ht="21" customHeight="1" outlineLevel="1" x14ac:dyDescent="0.25">
      <c r="A22" s="30">
        <v>6</v>
      </c>
      <c r="B22" s="25" t="s">
        <v>12</v>
      </c>
      <c r="C22" s="83" t="s">
        <v>13</v>
      </c>
      <c r="D22" s="49"/>
      <c r="E22" s="49"/>
      <c r="F22" s="31"/>
      <c r="G22" s="75"/>
      <c r="H22" s="12"/>
      <c r="I22" s="12"/>
      <c r="J22" s="12"/>
      <c r="K22" s="12"/>
      <c r="L22" s="14"/>
      <c r="M22" s="74"/>
      <c r="N22" s="2"/>
      <c r="O22" s="2"/>
    </row>
    <row r="23" spans="1:16" ht="15.75" outlineLevel="1" x14ac:dyDescent="0.25">
      <c r="A23" s="26"/>
      <c r="B23" s="24"/>
      <c r="C23" s="84" t="s">
        <v>14</v>
      </c>
      <c r="D23" s="49"/>
      <c r="E23" s="49"/>
      <c r="F23" s="27"/>
      <c r="G23" s="224"/>
      <c r="H23" s="12"/>
      <c r="I23" s="12"/>
      <c r="J23" s="12"/>
      <c r="K23" s="12"/>
      <c r="L23" s="14"/>
      <c r="M23" s="74"/>
      <c r="N23" s="2"/>
      <c r="O23" s="2"/>
    </row>
    <row r="24" spans="1:16" ht="15.75" outlineLevel="1" x14ac:dyDescent="0.25">
      <c r="A24" s="28"/>
      <c r="B24" s="29"/>
      <c r="C24" s="84" t="s">
        <v>130</v>
      </c>
      <c r="D24" s="49"/>
      <c r="E24" s="49"/>
      <c r="F24" s="32" t="s">
        <v>129</v>
      </c>
      <c r="G24" s="225">
        <f>148.98*4.91*0.3</f>
        <v>219.45</v>
      </c>
      <c r="H24" s="12"/>
      <c r="I24" s="9"/>
      <c r="J24" s="12"/>
      <c r="K24" s="12"/>
      <c r="L24" s="14"/>
      <c r="M24" s="74"/>
      <c r="N24" s="2"/>
      <c r="O24" s="2"/>
      <c r="P24" s="9"/>
    </row>
    <row r="25" spans="1:16" ht="22.5" customHeight="1" outlineLevel="1" x14ac:dyDescent="0.25">
      <c r="A25" s="26">
        <v>7</v>
      </c>
      <c r="B25" s="24" t="s">
        <v>29</v>
      </c>
      <c r="C25" s="83" t="s">
        <v>15</v>
      </c>
      <c r="D25" s="25"/>
      <c r="E25" s="38"/>
      <c r="F25" s="27"/>
      <c r="G25" s="224"/>
      <c r="H25" s="12"/>
      <c r="I25" s="9"/>
      <c r="J25" s="12"/>
      <c r="K25" s="12"/>
      <c r="L25" s="14"/>
      <c r="M25" s="74"/>
      <c r="N25" s="2"/>
      <c r="O25" s="2"/>
    </row>
    <row r="26" spans="1:16" ht="15.75" outlineLevel="1" x14ac:dyDescent="0.25">
      <c r="A26" s="26"/>
      <c r="B26" s="24"/>
      <c r="C26" s="83" t="s">
        <v>14</v>
      </c>
      <c r="D26" s="25"/>
      <c r="E26" s="38"/>
      <c r="F26" s="27" t="s">
        <v>127</v>
      </c>
      <c r="G26" s="208">
        <f>21.32*4.91</f>
        <v>104.68</v>
      </c>
      <c r="H26" s="12"/>
      <c r="I26" s="9"/>
      <c r="J26" s="12"/>
      <c r="K26" s="12"/>
      <c r="L26" s="14"/>
      <c r="M26" s="244"/>
      <c r="N26" s="2"/>
      <c r="O26" s="2"/>
    </row>
    <row r="27" spans="1:16" ht="27" customHeight="1" x14ac:dyDescent="0.25">
      <c r="A27" s="50">
        <v>8</v>
      </c>
      <c r="B27" s="50" t="s">
        <v>10</v>
      </c>
      <c r="C27" s="85"/>
      <c r="D27" s="36"/>
      <c r="E27" s="37"/>
      <c r="F27" s="72"/>
      <c r="G27" s="226">
        <f>G13*4%</f>
        <v>76.08</v>
      </c>
      <c r="H27" s="15"/>
      <c r="I27" s="15"/>
      <c r="J27" s="15"/>
      <c r="K27" s="15"/>
      <c r="L27" s="16"/>
      <c r="M27" s="245"/>
      <c r="N27" s="2"/>
      <c r="O27" s="2"/>
    </row>
    <row r="28" spans="1:16" ht="15.75" x14ac:dyDescent="0.25">
      <c r="A28" s="40"/>
      <c r="B28" s="40"/>
      <c r="C28" s="81"/>
      <c r="D28" s="36"/>
      <c r="E28" s="37"/>
      <c r="F28" s="46" t="s">
        <v>23</v>
      </c>
      <c r="G28" s="227">
        <f>G27+(G24+G13+G15+G21+G19+G26+G20)*0.4+(G17+G18)*0.6</f>
        <v>1022.73</v>
      </c>
      <c r="H28" s="15"/>
      <c r="I28" s="15"/>
      <c r="J28" s="15"/>
      <c r="K28" s="15"/>
      <c r="L28" s="16"/>
      <c r="M28" s="16"/>
      <c r="N28" s="2"/>
      <c r="O28" s="2"/>
    </row>
    <row r="29" spans="1:16" ht="15.75" x14ac:dyDescent="0.25">
      <c r="A29" s="40"/>
      <c r="B29" s="40"/>
      <c r="C29" s="81"/>
      <c r="D29" s="36"/>
      <c r="E29" s="37"/>
      <c r="F29" s="46" t="s">
        <v>24</v>
      </c>
      <c r="G29" s="227">
        <f>(G13+G15+G20+G24+G26)*0.6+(G18+G17)*0.4</f>
        <v>1387.84</v>
      </c>
      <c r="H29" s="15"/>
      <c r="I29" s="15"/>
      <c r="J29" s="15"/>
      <c r="K29" s="15"/>
      <c r="L29" s="18"/>
      <c r="M29" s="16"/>
      <c r="N29" s="2"/>
      <c r="O29" s="2"/>
    </row>
    <row r="30" spans="1:16" ht="20.25" thickBot="1" x14ac:dyDescent="0.3">
      <c r="A30" s="60"/>
      <c r="B30" s="60"/>
      <c r="C30" s="86"/>
      <c r="D30" s="61"/>
      <c r="E30" s="62"/>
      <c r="F30" s="214" t="s">
        <v>25</v>
      </c>
      <c r="G30" s="228">
        <f>G29+G28</f>
        <v>2410.5700000000002</v>
      </c>
      <c r="H30" s="15"/>
      <c r="I30" s="15"/>
      <c r="J30" s="15"/>
      <c r="K30" s="15"/>
      <c r="L30" s="18"/>
      <c r="M30" s="16"/>
      <c r="N30" s="2"/>
      <c r="O30" s="2"/>
    </row>
    <row r="31" spans="1:16" ht="19.5" x14ac:dyDescent="0.25">
      <c r="A31" s="89">
        <v>9</v>
      </c>
      <c r="B31" s="215" t="s">
        <v>18</v>
      </c>
      <c r="C31" s="216"/>
      <c r="D31" s="63"/>
      <c r="E31" s="64"/>
      <c r="F31" s="217"/>
      <c r="G31" s="229"/>
      <c r="H31" s="15"/>
      <c r="I31" s="15"/>
      <c r="J31" s="15"/>
      <c r="K31" s="15"/>
      <c r="L31" s="18"/>
      <c r="M31" s="16"/>
      <c r="N31" s="2"/>
      <c r="O31" s="2"/>
    </row>
    <row r="32" spans="1:16" ht="15.75" outlineLevel="1" x14ac:dyDescent="0.25">
      <c r="A32" s="26"/>
      <c r="B32" s="48" t="s">
        <v>19</v>
      </c>
      <c r="C32" s="81"/>
      <c r="D32" s="34"/>
      <c r="E32" s="35"/>
      <c r="F32" s="24" t="s">
        <v>8</v>
      </c>
      <c r="G32" s="227">
        <f>геодезия!E15/1000</f>
        <v>47.61</v>
      </c>
      <c r="H32" s="15"/>
      <c r="I32" s="15"/>
      <c r="J32" s="15"/>
      <c r="K32" s="15"/>
      <c r="L32" s="16"/>
      <c r="M32" s="16"/>
      <c r="N32" s="2"/>
      <c r="O32" s="2"/>
    </row>
    <row r="33" spans="1:15" ht="15.75" outlineLevel="1" x14ac:dyDescent="0.25">
      <c r="A33" s="26"/>
      <c r="B33" s="48" t="s">
        <v>20</v>
      </c>
      <c r="C33" s="81"/>
      <c r="D33" s="34"/>
      <c r="E33" s="35"/>
      <c r="F33" s="24" t="s">
        <v>9</v>
      </c>
      <c r="G33" s="227">
        <f>геология!E23/1000</f>
        <v>89.85</v>
      </c>
      <c r="H33" s="15"/>
      <c r="I33" s="15"/>
      <c r="J33" s="15"/>
      <c r="K33" s="15"/>
      <c r="L33" s="16"/>
      <c r="M33" s="16"/>
      <c r="N33" s="2"/>
      <c r="O33" s="2"/>
    </row>
    <row r="34" spans="1:15" ht="20.25" outlineLevel="1" thickBot="1" x14ac:dyDescent="0.3">
      <c r="A34" s="90"/>
      <c r="B34" s="87"/>
      <c r="C34" s="53"/>
      <c r="D34" s="54"/>
      <c r="E34" s="55"/>
      <c r="F34" s="218" t="s">
        <v>21</v>
      </c>
      <c r="G34" s="228">
        <f>G33+G32</f>
        <v>137.46</v>
      </c>
      <c r="H34" s="15"/>
      <c r="I34" s="15"/>
      <c r="J34" s="15"/>
      <c r="K34" s="15"/>
      <c r="L34" s="16"/>
      <c r="M34" s="16"/>
      <c r="N34" s="2"/>
      <c r="O34" s="2"/>
    </row>
    <row r="35" spans="1:15" ht="19.5" hidden="1" outlineLevel="1" x14ac:dyDescent="0.25">
      <c r="A35" s="66"/>
      <c r="B35" s="215"/>
      <c r="C35" s="219"/>
      <c r="D35" s="63"/>
      <c r="E35" s="64"/>
      <c r="F35" s="220"/>
      <c r="G35" s="230"/>
      <c r="H35" s="15"/>
      <c r="I35" s="15"/>
      <c r="J35" s="15"/>
      <c r="K35" s="15"/>
      <c r="L35" s="16"/>
      <c r="M35" s="16"/>
      <c r="N35" s="2"/>
      <c r="O35" s="2"/>
    </row>
    <row r="36" spans="1:15" ht="51.75" hidden="1" customHeight="1" x14ac:dyDescent="0.25">
      <c r="A36" s="91"/>
      <c r="B36" s="88"/>
      <c r="C36" s="38"/>
      <c r="D36" s="33"/>
      <c r="E36" s="39"/>
      <c r="F36" s="22"/>
      <c r="G36" s="231"/>
      <c r="H36" s="15"/>
      <c r="I36" s="15"/>
      <c r="J36" s="15"/>
      <c r="K36" s="15"/>
      <c r="L36" s="16"/>
      <c r="M36" s="16"/>
      <c r="N36" s="2"/>
      <c r="O36" s="2"/>
    </row>
    <row r="37" spans="1:15" ht="19.5" x14ac:dyDescent="0.25">
      <c r="A37" s="26"/>
      <c r="B37" s="95"/>
      <c r="C37" s="96"/>
      <c r="D37" s="221"/>
      <c r="E37" s="222"/>
      <c r="F37" s="223"/>
      <c r="G37" s="232"/>
      <c r="H37" s="15"/>
      <c r="I37" s="15"/>
      <c r="J37" s="15"/>
      <c r="K37" s="15"/>
      <c r="L37" s="16"/>
      <c r="M37" s="16"/>
    </row>
    <row r="38" spans="1:15" ht="27.75" customHeight="1" x14ac:dyDescent="0.25">
      <c r="A38" s="52"/>
      <c r="B38" s="42" t="s">
        <v>4</v>
      </c>
      <c r="C38" s="26"/>
      <c r="D38" s="34" t="e">
        <f>SUM(D8:D36)+#REF!+#REF!</f>
        <v>#REF!</v>
      </c>
      <c r="E38" s="41" t="e">
        <f>SUM(E8:E36)+#REF!+#REF!</f>
        <v>#REF!</v>
      </c>
      <c r="F38" s="44"/>
      <c r="G38" s="233">
        <f>G36+G34+G30</f>
        <v>2548.0300000000002</v>
      </c>
      <c r="H38" s="19"/>
      <c r="I38" s="19"/>
      <c r="J38" s="15"/>
      <c r="K38" s="19"/>
      <c r="L38" s="16"/>
      <c r="M38" s="16"/>
    </row>
    <row r="39" spans="1:15" ht="18.75" x14ac:dyDescent="0.25">
      <c r="A39" s="52"/>
      <c r="B39" s="42" t="s">
        <v>11</v>
      </c>
      <c r="C39" s="26"/>
      <c r="D39" s="34"/>
      <c r="E39" s="41"/>
      <c r="F39" s="44"/>
      <c r="G39" s="233">
        <f>G38*20%</f>
        <v>509.61</v>
      </c>
      <c r="H39" s="19"/>
      <c r="I39" s="19"/>
      <c r="J39" s="19"/>
      <c r="K39" s="19"/>
      <c r="L39" s="16"/>
      <c r="M39" s="16"/>
    </row>
    <row r="40" spans="1:15" s="4" customFormat="1" ht="19.5" thickBot="1" x14ac:dyDescent="0.3">
      <c r="A40" s="67"/>
      <c r="B40" s="68" t="s">
        <v>5</v>
      </c>
      <c r="C40" s="65"/>
      <c r="D40" s="69" t="e">
        <f>#REF!+D38</f>
        <v>#REF!</v>
      </c>
      <c r="E40" s="70" t="e">
        <f>#REF!+E38</f>
        <v>#REF!</v>
      </c>
      <c r="F40" s="71"/>
      <c r="G40" s="234">
        <f>G38+G39</f>
        <v>3057.64</v>
      </c>
      <c r="H40" s="19"/>
      <c r="I40" s="19"/>
      <c r="J40" s="19"/>
      <c r="K40" s="19"/>
      <c r="L40" s="20"/>
      <c r="M40" s="20"/>
    </row>
    <row r="41" spans="1:15" ht="15.75" x14ac:dyDescent="0.25">
      <c r="A41" s="43"/>
      <c r="B41" s="43"/>
      <c r="C41" s="43"/>
      <c r="D41" s="45"/>
      <c r="E41" s="45"/>
      <c r="F41" s="43"/>
      <c r="G41" s="35"/>
      <c r="H41" s="17"/>
      <c r="I41" s="17"/>
      <c r="J41" s="17"/>
      <c r="K41" s="17"/>
      <c r="L41" s="21"/>
      <c r="M41" s="21"/>
    </row>
    <row r="42" spans="1:15" x14ac:dyDescent="0.25">
      <c r="G42" s="243"/>
    </row>
  </sheetData>
  <mergeCells count="3">
    <mergeCell ref="A2:G2"/>
    <mergeCell ref="A3:G3"/>
    <mergeCell ref="A4:G4"/>
  </mergeCells>
  <pageMargins left="0.23622047244094491" right="0.23622047244094491" top="0.19685039370078741" bottom="0.19685039370078741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BF729"/>
  </sheetPr>
  <dimension ref="A1:H31"/>
  <sheetViews>
    <sheetView workbookViewId="0">
      <selection activeCell="E22" sqref="E22"/>
    </sheetView>
  </sheetViews>
  <sheetFormatPr defaultColWidth="30.140625" defaultRowHeight="15" x14ac:dyDescent="0.25"/>
  <cols>
    <col min="1" max="1" width="5.28515625" style="123" customWidth="1"/>
    <col min="2" max="2" width="39.85546875" style="123" customWidth="1"/>
    <col min="3" max="3" width="29.85546875" style="123" customWidth="1"/>
    <col min="4" max="4" width="21.28515625" style="123" customWidth="1"/>
    <col min="5" max="5" width="18.5703125" style="123" customWidth="1"/>
    <col min="6" max="6" width="16.28515625" style="123" hidden="1" customWidth="1"/>
    <col min="7" max="16384" width="30.140625" style="123"/>
  </cols>
  <sheetData>
    <row r="1" spans="1:8" x14ac:dyDescent="0.25">
      <c r="A1" s="265" t="s">
        <v>8</v>
      </c>
      <c r="B1" s="265"/>
      <c r="C1" s="265"/>
      <c r="D1" s="265"/>
      <c r="E1" s="265"/>
      <c r="F1" s="265"/>
    </row>
    <row r="2" spans="1:8" ht="75" customHeight="1" thickBot="1" x14ac:dyDescent="0.35">
      <c r="A2" s="266" t="s">
        <v>115</v>
      </c>
      <c r="B2" s="266"/>
      <c r="C2" s="266"/>
      <c r="D2" s="266"/>
      <c r="E2" s="266"/>
      <c r="F2" s="266"/>
      <c r="G2" s="124"/>
    </row>
    <row r="3" spans="1:8" ht="77.25" thickBot="1" x14ac:dyDescent="0.3">
      <c r="A3" s="125" t="s">
        <v>46</v>
      </c>
      <c r="B3" s="126" t="s">
        <v>1</v>
      </c>
      <c r="C3" s="127" t="s">
        <v>2</v>
      </c>
      <c r="D3" s="128" t="s">
        <v>3</v>
      </c>
      <c r="E3" s="129" t="s">
        <v>47</v>
      </c>
      <c r="F3" s="128" t="s">
        <v>48</v>
      </c>
    </row>
    <row r="4" spans="1:8" ht="39" x14ac:dyDescent="0.25">
      <c r="A4" s="130" t="s">
        <v>49</v>
      </c>
      <c r="B4" s="267" t="s">
        <v>99</v>
      </c>
      <c r="C4" s="131" t="s">
        <v>50</v>
      </c>
      <c r="D4" s="132"/>
      <c r="E4" s="133"/>
      <c r="F4" s="269"/>
    </row>
    <row r="5" spans="1:8" ht="30" customHeight="1" x14ac:dyDescent="0.25">
      <c r="A5" s="134"/>
      <c r="B5" s="268"/>
      <c r="C5" s="135"/>
      <c r="D5" s="136"/>
      <c r="E5" s="137"/>
      <c r="F5" s="264"/>
    </row>
    <row r="6" spans="1:8" ht="15.75" x14ac:dyDescent="0.25">
      <c r="A6" s="134"/>
      <c r="B6" s="138" t="s">
        <v>132</v>
      </c>
      <c r="C6" s="135" t="s">
        <v>100</v>
      </c>
      <c r="D6" s="136"/>
      <c r="E6" s="139"/>
      <c r="F6" s="264"/>
      <c r="H6" s="140"/>
    </row>
    <row r="7" spans="1:8" ht="15.75" x14ac:dyDescent="0.25">
      <c r="A7" s="134"/>
      <c r="B7" s="138" t="s">
        <v>51</v>
      </c>
      <c r="C7" s="135"/>
      <c r="D7" s="154" t="s">
        <v>133</v>
      </c>
      <c r="E7" s="141">
        <f>1460*3.8</f>
        <v>5548</v>
      </c>
      <c r="F7" s="264"/>
    </row>
    <row r="8" spans="1:8" ht="15.75" x14ac:dyDescent="0.25">
      <c r="A8" s="142"/>
      <c r="B8" s="143" t="s">
        <v>52</v>
      </c>
      <c r="C8" s="135" t="s">
        <v>101</v>
      </c>
      <c r="D8" s="154" t="s">
        <v>134</v>
      </c>
      <c r="E8" s="141">
        <f>398*3.8*1.2</f>
        <v>1815</v>
      </c>
      <c r="F8" s="270"/>
    </row>
    <row r="9" spans="1:8" ht="15.75" x14ac:dyDescent="0.25">
      <c r="A9" s="134" t="s">
        <v>53</v>
      </c>
      <c r="B9" s="271" t="s">
        <v>54</v>
      </c>
      <c r="C9" s="144" t="s">
        <v>55</v>
      </c>
      <c r="D9" s="145" t="s">
        <v>135</v>
      </c>
      <c r="E9" s="146">
        <f>E7*8.75%</f>
        <v>485</v>
      </c>
      <c r="F9" s="147"/>
      <c r="G9" s="148"/>
    </row>
    <row r="10" spans="1:8" ht="15.75" x14ac:dyDescent="0.25">
      <c r="A10" s="134"/>
      <c r="B10" s="272"/>
      <c r="C10" s="135"/>
      <c r="D10" s="139"/>
      <c r="E10" s="141"/>
      <c r="F10" s="149"/>
      <c r="G10" s="148"/>
    </row>
    <row r="11" spans="1:8" ht="15.75" x14ac:dyDescent="0.25">
      <c r="A11" s="150" t="s">
        <v>56</v>
      </c>
      <c r="B11" s="151" t="s">
        <v>57</v>
      </c>
      <c r="C11" s="144" t="s">
        <v>58</v>
      </c>
      <c r="D11" s="152" t="s">
        <v>136</v>
      </c>
      <c r="E11" s="146">
        <f>(E7+E9)*14%</f>
        <v>845</v>
      </c>
      <c r="F11" s="153"/>
    </row>
    <row r="12" spans="1:8" x14ac:dyDescent="0.25">
      <c r="A12" s="150" t="s">
        <v>59</v>
      </c>
      <c r="B12" s="257" t="s">
        <v>60</v>
      </c>
      <c r="C12" s="144" t="s">
        <v>61</v>
      </c>
      <c r="D12" s="259" t="s">
        <v>137</v>
      </c>
      <c r="E12" s="261">
        <f>(E7+E9)*6%*2.5</f>
        <v>905</v>
      </c>
      <c r="F12" s="263"/>
      <c r="G12" s="140"/>
    </row>
    <row r="13" spans="1:8" x14ac:dyDescent="0.25">
      <c r="A13" s="134"/>
      <c r="B13" s="258"/>
      <c r="C13" s="135" t="s">
        <v>62</v>
      </c>
      <c r="D13" s="260"/>
      <c r="E13" s="262"/>
      <c r="F13" s="264"/>
      <c r="G13" s="140"/>
    </row>
    <row r="14" spans="1:8" ht="15.75" x14ac:dyDescent="0.25">
      <c r="A14" s="155"/>
      <c r="B14" s="156" t="s">
        <v>63</v>
      </c>
      <c r="C14" s="144"/>
      <c r="D14" s="157"/>
      <c r="E14" s="158">
        <f>SUM(E4:E13)</f>
        <v>9598</v>
      </c>
      <c r="F14" s="159"/>
      <c r="G14" s="160"/>
    </row>
    <row r="15" spans="1:8" ht="18.75" x14ac:dyDescent="0.3">
      <c r="A15" s="155"/>
      <c r="B15" s="51" t="s">
        <v>64</v>
      </c>
      <c r="C15" s="161" t="s">
        <v>119</v>
      </c>
      <c r="D15" s="162" t="s">
        <v>138</v>
      </c>
      <c r="E15" s="163">
        <f>E14*4.96</f>
        <v>47606</v>
      </c>
      <c r="F15" s="159"/>
      <c r="G15" s="164"/>
    </row>
    <row r="16" spans="1:8" s="140" customFormat="1" ht="18.75" x14ac:dyDescent="0.25">
      <c r="A16" s="155"/>
      <c r="B16" s="165" t="s">
        <v>65</v>
      </c>
      <c r="C16" s="166"/>
      <c r="D16" s="167">
        <v>0.2</v>
      </c>
      <c r="E16" s="158">
        <f>E15*20%</f>
        <v>9521</v>
      </c>
      <c r="F16" s="159"/>
      <c r="G16" s="164"/>
    </row>
    <row r="17" spans="1:7" s="140" customFormat="1" ht="19.5" thickBot="1" x14ac:dyDescent="0.3">
      <c r="A17" s="168"/>
      <c r="B17" s="169" t="s">
        <v>16</v>
      </c>
      <c r="C17" s="170"/>
      <c r="D17" s="171"/>
      <c r="E17" s="172">
        <f>E16+E15</f>
        <v>57127</v>
      </c>
      <c r="F17" s="173"/>
      <c r="G17" s="164"/>
    </row>
    <row r="18" spans="1:7" x14ac:dyDescent="0.25">
      <c r="E18" s="160"/>
      <c r="G18" s="174"/>
    </row>
    <row r="19" spans="1:7" x14ac:dyDescent="0.25">
      <c r="G19" s="174"/>
    </row>
    <row r="20" spans="1:7" x14ac:dyDescent="0.25">
      <c r="E20" s="174"/>
      <c r="G20" s="174"/>
    </row>
    <row r="21" spans="1:7" x14ac:dyDescent="0.25">
      <c r="C21" s="174"/>
      <c r="E21" s="140"/>
    </row>
    <row r="22" spans="1:7" x14ac:dyDescent="0.25">
      <c r="C22" s="174"/>
    </row>
    <row r="23" spans="1:7" x14ac:dyDescent="0.25">
      <c r="C23" s="174"/>
    </row>
    <row r="24" spans="1:7" x14ac:dyDescent="0.25">
      <c r="C24" s="174"/>
    </row>
    <row r="25" spans="1:7" x14ac:dyDescent="0.25">
      <c r="C25" s="174"/>
      <c r="E25" s="123" t="s">
        <v>66</v>
      </c>
    </row>
    <row r="26" spans="1:7" x14ac:dyDescent="0.25">
      <c r="C26" s="174"/>
    </row>
    <row r="27" spans="1:7" x14ac:dyDescent="0.25">
      <c r="C27" s="174"/>
    </row>
    <row r="28" spans="1:7" x14ac:dyDescent="0.25">
      <c r="C28" s="174"/>
    </row>
    <row r="29" spans="1:7" x14ac:dyDescent="0.25">
      <c r="C29" s="174"/>
    </row>
    <row r="30" spans="1:7" x14ac:dyDescent="0.25">
      <c r="C30" s="174"/>
    </row>
    <row r="31" spans="1:7" x14ac:dyDescent="0.25">
      <c r="C31" s="174"/>
    </row>
  </sheetData>
  <mergeCells count="9">
    <mergeCell ref="B12:B13"/>
    <mergeCell ref="D12:D13"/>
    <mergeCell ref="E12:E13"/>
    <mergeCell ref="F12:F13"/>
    <mergeCell ref="A1:F1"/>
    <mergeCell ref="A2:F2"/>
    <mergeCell ref="B4:B5"/>
    <mergeCell ref="F4:F8"/>
    <mergeCell ref="B9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BF729"/>
  </sheetPr>
  <dimension ref="A1:F37"/>
  <sheetViews>
    <sheetView workbookViewId="0">
      <selection activeCell="B36" sqref="B36"/>
    </sheetView>
  </sheetViews>
  <sheetFormatPr defaultColWidth="30.140625" defaultRowHeight="15" x14ac:dyDescent="0.25"/>
  <cols>
    <col min="1" max="1" width="4.140625" style="177" customWidth="1"/>
    <col min="2" max="2" width="53.140625" style="177" customWidth="1"/>
    <col min="3" max="3" width="24.28515625" style="177" customWidth="1"/>
    <col min="4" max="4" width="27" style="177" customWidth="1"/>
    <col min="5" max="5" width="12.28515625" style="177" customWidth="1"/>
    <col min="6" max="16384" width="30.140625" style="177"/>
  </cols>
  <sheetData>
    <row r="1" spans="1:6" x14ac:dyDescent="0.25">
      <c r="A1" s="265" t="s">
        <v>9</v>
      </c>
      <c r="B1" s="265"/>
      <c r="C1" s="265"/>
      <c r="D1" s="265"/>
      <c r="E1" s="265"/>
      <c r="F1" s="176"/>
    </row>
    <row r="2" spans="1:6" ht="61.5" customHeight="1" thickBot="1" x14ac:dyDescent="0.3">
      <c r="A2" s="266" t="s">
        <v>116</v>
      </c>
      <c r="B2" s="266"/>
      <c r="C2" s="266"/>
      <c r="D2" s="266"/>
      <c r="E2" s="266"/>
      <c r="F2" s="178"/>
    </row>
    <row r="3" spans="1:6" x14ac:dyDescent="0.25">
      <c r="A3" s="273"/>
      <c r="B3" s="273"/>
      <c r="C3" s="273"/>
      <c r="D3" s="273"/>
      <c r="E3" s="273"/>
    </row>
    <row r="4" spans="1:6" ht="102" x14ac:dyDescent="0.25">
      <c r="A4" s="179" t="s">
        <v>46</v>
      </c>
      <c r="B4" s="180" t="s">
        <v>1</v>
      </c>
      <c r="C4" s="181" t="s">
        <v>2</v>
      </c>
      <c r="D4" s="182" t="s">
        <v>3</v>
      </c>
      <c r="E4" s="180" t="s">
        <v>47</v>
      </c>
    </row>
    <row r="5" spans="1:6" ht="64.5" x14ac:dyDescent="0.25">
      <c r="A5" s="183">
        <v>1</v>
      </c>
      <c r="B5" s="138" t="s">
        <v>131</v>
      </c>
      <c r="C5" s="184" t="s">
        <v>67</v>
      </c>
      <c r="D5" s="185" t="s">
        <v>139</v>
      </c>
      <c r="E5" s="185">
        <f>8.4*29.5</f>
        <v>248</v>
      </c>
    </row>
    <row r="6" spans="1:6" ht="31.5" x14ac:dyDescent="0.25">
      <c r="A6" s="183">
        <v>2</v>
      </c>
      <c r="B6" s="138" t="s">
        <v>68</v>
      </c>
      <c r="C6" s="184" t="s">
        <v>69</v>
      </c>
      <c r="D6" s="185" t="s">
        <v>140</v>
      </c>
      <c r="E6" s="185">
        <f>1.6*6</f>
        <v>10</v>
      </c>
    </row>
    <row r="7" spans="1:6" ht="31.5" x14ac:dyDescent="0.25">
      <c r="A7" s="186">
        <v>3</v>
      </c>
      <c r="B7" s="156" t="s">
        <v>70</v>
      </c>
      <c r="C7" s="187" t="s">
        <v>71</v>
      </c>
      <c r="D7" s="188" t="s">
        <v>141</v>
      </c>
      <c r="E7" s="188">
        <f>22.9*6</f>
        <v>137</v>
      </c>
    </row>
    <row r="8" spans="1:6" ht="15.75" x14ac:dyDescent="0.25">
      <c r="A8" s="189">
        <v>4</v>
      </c>
      <c r="B8" s="175" t="s">
        <v>72</v>
      </c>
      <c r="C8" s="184" t="s">
        <v>73</v>
      </c>
      <c r="D8" s="190" t="s">
        <v>142</v>
      </c>
      <c r="E8" s="190">
        <f>7.6*6</f>
        <v>46</v>
      </c>
    </row>
    <row r="9" spans="1:6" ht="15.75" x14ac:dyDescent="0.25">
      <c r="A9" s="191">
        <v>5</v>
      </c>
      <c r="B9" s="192" t="s">
        <v>54</v>
      </c>
      <c r="C9" s="193" t="s">
        <v>74</v>
      </c>
      <c r="D9" s="188" t="s">
        <v>143</v>
      </c>
      <c r="E9" s="185">
        <f>(E5+E7+E8+E6)*8.75%</f>
        <v>39</v>
      </c>
    </row>
    <row r="10" spans="1:6" ht="15.75" x14ac:dyDescent="0.25">
      <c r="A10" s="191">
        <v>6</v>
      </c>
      <c r="B10" s="151" t="s">
        <v>75</v>
      </c>
      <c r="C10" s="193" t="s">
        <v>76</v>
      </c>
      <c r="D10" s="188" t="s">
        <v>144</v>
      </c>
      <c r="E10" s="194">
        <f>(E5+E7+E8+E6)*14%</f>
        <v>62</v>
      </c>
    </row>
    <row r="11" spans="1:6" x14ac:dyDescent="0.25">
      <c r="A11" s="191">
        <v>7</v>
      </c>
      <c r="B11" s="257" t="s">
        <v>60</v>
      </c>
      <c r="C11" s="193" t="s">
        <v>61</v>
      </c>
      <c r="D11" s="274" t="s">
        <v>145</v>
      </c>
      <c r="E11" s="274">
        <f>(E5+E7+E8+E9+E6)*6%*2.5</f>
        <v>72</v>
      </c>
    </row>
    <row r="12" spans="1:6" x14ac:dyDescent="0.25">
      <c r="A12" s="189"/>
      <c r="B12" s="258"/>
      <c r="C12" s="195" t="s">
        <v>62</v>
      </c>
      <c r="D12" s="275"/>
      <c r="E12" s="275"/>
    </row>
    <row r="13" spans="1:6" ht="31.5" x14ac:dyDescent="0.25">
      <c r="A13" s="186">
        <v>8</v>
      </c>
      <c r="B13" s="156" t="s">
        <v>77</v>
      </c>
      <c r="C13" s="187" t="s">
        <v>78</v>
      </c>
      <c r="D13" s="188" t="s">
        <v>146</v>
      </c>
      <c r="E13" s="188">
        <f>9.7*6</f>
        <v>58</v>
      </c>
    </row>
    <row r="14" spans="1:6" ht="31.5" x14ac:dyDescent="0.25">
      <c r="A14" s="191">
        <v>9</v>
      </c>
      <c r="B14" s="151" t="s">
        <v>79</v>
      </c>
      <c r="C14" s="193" t="s">
        <v>80</v>
      </c>
      <c r="D14" s="185" t="s">
        <v>147</v>
      </c>
      <c r="E14" s="185">
        <f>45.5*6</f>
        <v>273</v>
      </c>
    </row>
    <row r="15" spans="1:6" s="197" customFormat="1" ht="15.75" x14ac:dyDescent="0.25">
      <c r="A15" s="189"/>
      <c r="B15" s="175"/>
      <c r="C15" s="196"/>
      <c r="D15" s="185"/>
      <c r="E15" s="185"/>
    </row>
    <row r="16" spans="1:6" s="197" customFormat="1" ht="15.75" x14ac:dyDescent="0.25">
      <c r="A16" s="189">
        <v>10</v>
      </c>
      <c r="B16" s="175" t="s">
        <v>81</v>
      </c>
      <c r="C16" s="196" t="s">
        <v>82</v>
      </c>
      <c r="D16" s="185" t="s">
        <v>148</v>
      </c>
      <c r="E16" s="185">
        <f>67.3*6</f>
        <v>404</v>
      </c>
    </row>
    <row r="17" spans="1:6" ht="31.5" x14ac:dyDescent="0.25">
      <c r="A17" s="186">
        <v>11</v>
      </c>
      <c r="B17" s="156" t="s">
        <v>83</v>
      </c>
      <c r="C17" s="198" t="s">
        <v>84</v>
      </c>
      <c r="D17" s="188" t="s">
        <v>149</v>
      </c>
      <c r="E17" s="188">
        <f>6*18.2</f>
        <v>109</v>
      </c>
    </row>
    <row r="18" spans="1:6" ht="31.5" x14ac:dyDescent="0.25">
      <c r="A18" s="186">
        <v>12</v>
      </c>
      <c r="B18" s="156" t="s">
        <v>85</v>
      </c>
      <c r="C18" s="198" t="s">
        <v>86</v>
      </c>
      <c r="D18" s="188" t="s">
        <v>110</v>
      </c>
      <c r="E18" s="188">
        <f>E13*20%</f>
        <v>12</v>
      </c>
    </row>
    <row r="19" spans="1:6" ht="31.5" x14ac:dyDescent="0.25">
      <c r="A19" s="186">
        <v>13</v>
      </c>
      <c r="B19" s="156" t="s">
        <v>87</v>
      </c>
      <c r="C19" s="198" t="s">
        <v>88</v>
      </c>
      <c r="D19" s="188" t="s">
        <v>111</v>
      </c>
      <c r="E19" s="188">
        <f>(E14+E15)*15%</f>
        <v>41</v>
      </c>
    </row>
    <row r="20" spans="1:6" ht="31.5" x14ac:dyDescent="0.25">
      <c r="A20" s="186">
        <v>14</v>
      </c>
      <c r="B20" s="156" t="s">
        <v>89</v>
      </c>
      <c r="C20" s="198" t="s">
        <v>90</v>
      </c>
      <c r="D20" s="188" t="s">
        <v>112</v>
      </c>
      <c r="E20" s="188">
        <f>E16*15%</f>
        <v>61</v>
      </c>
    </row>
    <row r="21" spans="1:6" ht="15.75" x14ac:dyDescent="0.25">
      <c r="A21" s="199">
        <v>15</v>
      </c>
      <c r="B21" s="156" t="s">
        <v>91</v>
      </c>
      <c r="C21" s="187" t="s">
        <v>92</v>
      </c>
      <c r="D21" s="188" t="s">
        <v>109</v>
      </c>
      <c r="E21" s="188">
        <f>18%*(E18+E19+E20)</f>
        <v>21</v>
      </c>
    </row>
    <row r="22" spans="1:6" ht="15.75" x14ac:dyDescent="0.25">
      <c r="A22" s="199"/>
      <c r="B22" s="156" t="s">
        <v>93</v>
      </c>
      <c r="C22" s="193"/>
      <c r="D22" s="200"/>
      <c r="E22" s="200">
        <f>SUM(E5:E21)</f>
        <v>1593</v>
      </c>
    </row>
    <row r="23" spans="1:6" ht="25.5" x14ac:dyDescent="0.25">
      <c r="A23" s="199"/>
      <c r="B23" s="201" t="s">
        <v>64</v>
      </c>
      <c r="C23" s="202" t="s">
        <v>120</v>
      </c>
      <c r="D23" s="188" t="s">
        <v>150</v>
      </c>
      <c r="E23" s="188">
        <f>E22*56.4</f>
        <v>89845</v>
      </c>
    </row>
    <row r="24" spans="1:6" x14ac:dyDescent="0.25">
      <c r="D24" s="177" t="s">
        <v>65</v>
      </c>
      <c r="E24" s="203">
        <f>E23*20%</f>
        <v>17969</v>
      </c>
    </row>
    <row r="25" spans="1:6" x14ac:dyDescent="0.25">
      <c r="D25" s="177" t="s">
        <v>17</v>
      </c>
      <c r="E25" s="204">
        <f>E24+E23</f>
        <v>107814</v>
      </c>
    </row>
    <row r="27" spans="1:6" x14ac:dyDescent="0.25">
      <c r="C27" s="205"/>
      <c r="E27" s="206"/>
      <c r="F27" s="177" t="s">
        <v>94</v>
      </c>
    </row>
    <row r="28" spans="1:6" x14ac:dyDescent="0.25">
      <c r="C28" s="205"/>
    </row>
    <row r="29" spans="1:6" x14ac:dyDescent="0.25">
      <c r="C29" s="205"/>
    </row>
    <row r="30" spans="1:6" x14ac:dyDescent="0.25">
      <c r="C30" s="205"/>
    </row>
    <row r="31" spans="1:6" x14ac:dyDescent="0.25">
      <c r="C31" s="205"/>
      <c r="E31" s="177" t="s">
        <v>66</v>
      </c>
    </row>
    <row r="32" spans="1:6" x14ac:dyDescent="0.25">
      <c r="C32" s="205"/>
    </row>
    <row r="33" spans="3:3" x14ac:dyDescent="0.25">
      <c r="C33" s="205"/>
    </row>
    <row r="34" spans="3:3" x14ac:dyDescent="0.25">
      <c r="C34" s="205"/>
    </row>
    <row r="35" spans="3:3" x14ac:dyDescent="0.25">
      <c r="C35" s="205"/>
    </row>
    <row r="36" spans="3:3" x14ac:dyDescent="0.25">
      <c r="C36" s="205"/>
    </row>
    <row r="37" spans="3:3" x14ac:dyDescent="0.25">
      <c r="C37" s="205"/>
    </row>
  </sheetData>
  <mergeCells count="6">
    <mergeCell ref="A1:E1"/>
    <mergeCell ref="A2:E2"/>
    <mergeCell ref="A3:E3"/>
    <mergeCell ref="B11:B12"/>
    <mergeCell ref="D11:D12"/>
    <mergeCell ref="E11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BF729"/>
  </sheetPr>
  <dimension ref="A1:GC34"/>
  <sheetViews>
    <sheetView tabSelected="1"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8.42578125" style="98" customWidth="1"/>
    <col min="2" max="2" width="59.85546875" style="98" customWidth="1"/>
    <col min="3" max="3" width="13.140625" style="98" hidden="1" customWidth="1"/>
    <col min="4" max="4" width="11.7109375" style="98" hidden="1" customWidth="1"/>
    <col min="5" max="5" width="15.7109375" style="122" customWidth="1"/>
    <col min="6" max="190" width="9.140625" style="98"/>
    <col min="191" max="191" width="8.42578125" style="98" customWidth="1"/>
    <col min="192" max="192" width="63.5703125" style="98" customWidth="1"/>
    <col min="193" max="193" width="24.42578125" style="98" customWidth="1"/>
    <col min="194" max="194" width="15" style="98" customWidth="1"/>
    <col min="195" max="196" width="11" style="98" bestFit="1" customWidth="1"/>
    <col min="197" max="197" width="9.140625" style="98"/>
    <col min="198" max="198" width="10" style="98" bestFit="1" customWidth="1"/>
    <col min="199" max="446" width="9.140625" style="98"/>
    <col min="447" max="447" width="8.42578125" style="98" customWidth="1"/>
    <col min="448" max="448" width="63.5703125" style="98" customWidth="1"/>
    <col min="449" max="449" width="24.42578125" style="98" customWidth="1"/>
    <col min="450" max="450" width="15" style="98" customWidth="1"/>
    <col min="451" max="452" width="11" style="98" bestFit="1" customWidth="1"/>
    <col min="453" max="453" width="9.140625" style="98"/>
    <col min="454" max="454" width="10" style="98" bestFit="1" customWidth="1"/>
    <col min="455" max="702" width="9.140625" style="98"/>
    <col min="703" max="703" width="8.42578125" style="98" customWidth="1"/>
    <col min="704" max="704" width="63.5703125" style="98" customWidth="1"/>
    <col min="705" max="705" width="24.42578125" style="98" customWidth="1"/>
    <col min="706" max="706" width="15" style="98" customWidth="1"/>
    <col min="707" max="708" width="11" style="98" bestFit="1" customWidth="1"/>
    <col min="709" max="709" width="9.140625" style="98"/>
    <col min="710" max="710" width="10" style="98" bestFit="1" customWidth="1"/>
    <col min="711" max="958" width="9.140625" style="98"/>
    <col min="959" max="959" width="8.42578125" style="98" customWidth="1"/>
    <col min="960" max="960" width="63.5703125" style="98" customWidth="1"/>
    <col min="961" max="961" width="24.42578125" style="98" customWidth="1"/>
    <col min="962" max="962" width="15" style="98" customWidth="1"/>
    <col min="963" max="964" width="11" style="98" bestFit="1" customWidth="1"/>
    <col min="965" max="965" width="9.140625" style="98"/>
    <col min="966" max="966" width="10" style="98" bestFit="1" customWidth="1"/>
    <col min="967" max="1214" width="9.140625" style="98"/>
    <col min="1215" max="1215" width="8.42578125" style="98" customWidth="1"/>
    <col min="1216" max="1216" width="63.5703125" style="98" customWidth="1"/>
    <col min="1217" max="1217" width="24.42578125" style="98" customWidth="1"/>
    <col min="1218" max="1218" width="15" style="98" customWidth="1"/>
    <col min="1219" max="1220" width="11" style="98" bestFit="1" customWidth="1"/>
    <col min="1221" max="1221" width="9.140625" style="98"/>
    <col min="1222" max="1222" width="10" style="98" bestFit="1" customWidth="1"/>
    <col min="1223" max="1470" width="9.140625" style="98"/>
    <col min="1471" max="1471" width="8.42578125" style="98" customWidth="1"/>
    <col min="1472" max="1472" width="63.5703125" style="98" customWidth="1"/>
    <col min="1473" max="1473" width="24.42578125" style="98" customWidth="1"/>
    <col min="1474" max="1474" width="15" style="98" customWidth="1"/>
    <col min="1475" max="1476" width="11" style="98" bestFit="1" customWidth="1"/>
    <col min="1477" max="1477" width="9.140625" style="98"/>
    <col min="1478" max="1478" width="10" style="98" bestFit="1" customWidth="1"/>
    <col min="1479" max="1726" width="9.140625" style="98"/>
    <col min="1727" max="1727" width="8.42578125" style="98" customWidth="1"/>
    <col min="1728" max="1728" width="63.5703125" style="98" customWidth="1"/>
    <col min="1729" max="1729" width="24.42578125" style="98" customWidth="1"/>
    <col min="1730" max="1730" width="15" style="98" customWidth="1"/>
    <col min="1731" max="1732" width="11" style="98" bestFit="1" customWidth="1"/>
    <col min="1733" max="1733" width="9.140625" style="98"/>
    <col min="1734" max="1734" width="10" style="98" bestFit="1" customWidth="1"/>
    <col min="1735" max="1982" width="9.140625" style="98"/>
    <col min="1983" max="1983" width="8.42578125" style="98" customWidth="1"/>
    <col min="1984" max="1984" width="63.5703125" style="98" customWidth="1"/>
    <col min="1985" max="1985" width="24.42578125" style="98" customWidth="1"/>
    <col min="1986" max="1986" width="15" style="98" customWidth="1"/>
    <col min="1987" max="1988" width="11" style="98" bestFit="1" customWidth="1"/>
    <col min="1989" max="1989" width="9.140625" style="98"/>
    <col min="1990" max="1990" width="10" style="98" bestFit="1" customWidth="1"/>
    <col min="1991" max="2238" width="9.140625" style="98"/>
    <col min="2239" max="2239" width="8.42578125" style="98" customWidth="1"/>
    <col min="2240" max="2240" width="63.5703125" style="98" customWidth="1"/>
    <col min="2241" max="2241" width="24.42578125" style="98" customWidth="1"/>
    <col min="2242" max="2242" width="15" style="98" customWidth="1"/>
    <col min="2243" max="2244" width="11" style="98" bestFit="1" customWidth="1"/>
    <col min="2245" max="2245" width="9.140625" style="98"/>
    <col min="2246" max="2246" width="10" style="98" bestFit="1" customWidth="1"/>
    <col min="2247" max="2494" width="9.140625" style="98"/>
    <col min="2495" max="2495" width="8.42578125" style="98" customWidth="1"/>
    <col min="2496" max="2496" width="63.5703125" style="98" customWidth="1"/>
    <col min="2497" max="2497" width="24.42578125" style="98" customWidth="1"/>
    <col min="2498" max="2498" width="15" style="98" customWidth="1"/>
    <col min="2499" max="2500" width="11" style="98" bestFit="1" customWidth="1"/>
    <col min="2501" max="2501" width="9.140625" style="98"/>
    <col min="2502" max="2502" width="10" style="98" bestFit="1" customWidth="1"/>
    <col min="2503" max="2750" width="9.140625" style="98"/>
    <col min="2751" max="2751" width="8.42578125" style="98" customWidth="1"/>
    <col min="2752" max="2752" width="63.5703125" style="98" customWidth="1"/>
    <col min="2753" max="2753" width="24.42578125" style="98" customWidth="1"/>
    <col min="2754" max="2754" width="15" style="98" customWidth="1"/>
    <col min="2755" max="2756" width="11" style="98" bestFit="1" customWidth="1"/>
    <col min="2757" max="2757" width="9.140625" style="98"/>
    <col min="2758" max="2758" width="10" style="98" bestFit="1" customWidth="1"/>
    <col min="2759" max="3006" width="9.140625" style="98"/>
    <col min="3007" max="3007" width="8.42578125" style="98" customWidth="1"/>
    <col min="3008" max="3008" width="63.5703125" style="98" customWidth="1"/>
    <col min="3009" max="3009" width="24.42578125" style="98" customWidth="1"/>
    <col min="3010" max="3010" width="15" style="98" customWidth="1"/>
    <col min="3011" max="3012" width="11" style="98" bestFit="1" customWidth="1"/>
    <col min="3013" max="3013" width="9.140625" style="98"/>
    <col min="3014" max="3014" width="10" style="98" bestFit="1" customWidth="1"/>
    <col min="3015" max="3262" width="9.140625" style="98"/>
    <col min="3263" max="3263" width="8.42578125" style="98" customWidth="1"/>
    <col min="3264" max="3264" width="63.5703125" style="98" customWidth="1"/>
    <col min="3265" max="3265" width="24.42578125" style="98" customWidth="1"/>
    <col min="3266" max="3266" width="15" style="98" customWidth="1"/>
    <col min="3267" max="3268" width="11" style="98" bestFit="1" customWidth="1"/>
    <col min="3269" max="3269" width="9.140625" style="98"/>
    <col min="3270" max="3270" width="10" style="98" bestFit="1" customWidth="1"/>
    <col min="3271" max="3518" width="9.140625" style="98"/>
    <col min="3519" max="3519" width="8.42578125" style="98" customWidth="1"/>
    <col min="3520" max="3520" width="63.5703125" style="98" customWidth="1"/>
    <col min="3521" max="3521" width="24.42578125" style="98" customWidth="1"/>
    <col min="3522" max="3522" width="15" style="98" customWidth="1"/>
    <col min="3523" max="3524" width="11" style="98" bestFit="1" customWidth="1"/>
    <col min="3525" max="3525" width="9.140625" style="98"/>
    <col min="3526" max="3526" width="10" style="98" bestFit="1" customWidth="1"/>
    <col min="3527" max="3774" width="9.140625" style="98"/>
    <col min="3775" max="3775" width="8.42578125" style="98" customWidth="1"/>
    <col min="3776" max="3776" width="63.5703125" style="98" customWidth="1"/>
    <col min="3777" max="3777" width="24.42578125" style="98" customWidth="1"/>
    <col min="3778" max="3778" width="15" style="98" customWidth="1"/>
    <col min="3779" max="3780" width="11" style="98" bestFit="1" customWidth="1"/>
    <col min="3781" max="3781" width="9.140625" style="98"/>
    <col min="3782" max="3782" width="10" style="98" bestFit="1" customWidth="1"/>
    <col min="3783" max="4030" width="9.140625" style="98"/>
    <col min="4031" max="4031" width="8.42578125" style="98" customWidth="1"/>
    <col min="4032" max="4032" width="63.5703125" style="98" customWidth="1"/>
    <col min="4033" max="4033" width="24.42578125" style="98" customWidth="1"/>
    <col min="4034" max="4034" width="15" style="98" customWidth="1"/>
    <col min="4035" max="4036" width="11" style="98" bestFit="1" customWidth="1"/>
    <col min="4037" max="4037" width="9.140625" style="98"/>
    <col min="4038" max="4038" width="10" style="98" bestFit="1" customWidth="1"/>
    <col min="4039" max="4286" width="9.140625" style="98"/>
    <col min="4287" max="4287" width="8.42578125" style="98" customWidth="1"/>
    <col min="4288" max="4288" width="63.5703125" style="98" customWidth="1"/>
    <col min="4289" max="4289" width="24.42578125" style="98" customWidth="1"/>
    <col min="4290" max="4290" width="15" style="98" customWidth="1"/>
    <col min="4291" max="4292" width="11" style="98" bestFit="1" customWidth="1"/>
    <col min="4293" max="4293" width="9.140625" style="98"/>
    <col min="4294" max="4294" width="10" style="98" bestFit="1" customWidth="1"/>
    <col min="4295" max="4542" width="9.140625" style="98"/>
    <col min="4543" max="4543" width="8.42578125" style="98" customWidth="1"/>
    <col min="4544" max="4544" width="63.5703125" style="98" customWidth="1"/>
    <col min="4545" max="4545" width="24.42578125" style="98" customWidth="1"/>
    <col min="4546" max="4546" width="15" style="98" customWidth="1"/>
    <col min="4547" max="4548" width="11" style="98" bestFit="1" customWidth="1"/>
    <col min="4549" max="4549" width="9.140625" style="98"/>
    <col min="4550" max="4550" width="10" style="98" bestFit="1" customWidth="1"/>
    <col min="4551" max="4798" width="9.140625" style="98"/>
    <col min="4799" max="4799" width="8.42578125" style="98" customWidth="1"/>
    <col min="4800" max="4800" width="63.5703125" style="98" customWidth="1"/>
    <col min="4801" max="4801" width="24.42578125" style="98" customWidth="1"/>
    <col min="4802" max="4802" width="15" style="98" customWidth="1"/>
    <col min="4803" max="4804" width="11" style="98" bestFit="1" customWidth="1"/>
    <col min="4805" max="4805" width="9.140625" style="98"/>
    <col min="4806" max="4806" width="10" style="98" bestFit="1" customWidth="1"/>
    <col min="4807" max="5054" width="9.140625" style="98"/>
    <col min="5055" max="5055" width="8.42578125" style="98" customWidth="1"/>
    <col min="5056" max="5056" width="63.5703125" style="98" customWidth="1"/>
    <col min="5057" max="5057" width="24.42578125" style="98" customWidth="1"/>
    <col min="5058" max="5058" width="15" style="98" customWidth="1"/>
    <col min="5059" max="5060" width="11" style="98" bestFit="1" customWidth="1"/>
    <col min="5061" max="5061" width="9.140625" style="98"/>
    <col min="5062" max="5062" width="10" style="98" bestFit="1" customWidth="1"/>
    <col min="5063" max="5310" width="9.140625" style="98"/>
    <col min="5311" max="5311" width="8.42578125" style="98" customWidth="1"/>
    <col min="5312" max="5312" width="63.5703125" style="98" customWidth="1"/>
    <col min="5313" max="5313" width="24.42578125" style="98" customWidth="1"/>
    <col min="5314" max="5314" width="15" style="98" customWidth="1"/>
    <col min="5315" max="5316" width="11" style="98" bestFit="1" customWidth="1"/>
    <col min="5317" max="5317" width="9.140625" style="98"/>
    <col min="5318" max="5318" width="10" style="98" bestFit="1" customWidth="1"/>
    <col min="5319" max="5566" width="9.140625" style="98"/>
    <col min="5567" max="5567" width="8.42578125" style="98" customWidth="1"/>
    <col min="5568" max="5568" width="63.5703125" style="98" customWidth="1"/>
    <col min="5569" max="5569" width="24.42578125" style="98" customWidth="1"/>
    <col min="5570" max="5570" width="15" style="98" customWidth="1"/>
    <col min="5571" max="5572" width="11" style="98" bestFit="1" customWidth="1"/>
    <col min="5573" max="5573" width="9.140625" style="98"/>
    <col min="5574" max="5574" width="10" style="98" bestFit="1" customWidth="1"/>
    <col min="5575" max="5822" width="9.140625" style="98"/>
    <col min="5823" max="5823" width="8.42578125" style="98" customWidth="1"/>
    <col min="5824" max="5824" width="63.5703125" style="98" customWidth="1"/>
    <col min="5825" max="5825" width="24.42578125" style="98" customWidth="1"/>
    <col min="5826" max="5826" width="15" style="98" customWidth="1"/>
    <col min="5827" max="5828" width="11" style="98" bestFit="1" customWidth="1"/>
    <col min="5829" max="5829" width="9.140625" style="98"/>
    <col min="5830" max="5830" width="10" style="98" bestFit="1" customWidth="1"/>
    <col min="5831" max="6078" width="9.140625" style="98"/>
    <col min="6079" max="6079" width="8.42578125" style="98" customWidth="1"/>
    <col min="6080" max="6080" width="63.5703125" style="98" customWidth="1"/>
    <col min="6081" max="6081" width="24.42578125" style="98" customWidth="1"/>
    <col min="6082" max="6082" width="15" style="98" customWidth="1"/>
    <col min="6083" max="6084" width="11" style="98" bestFit="1" customWidth="1"/>
    <col min="6085" max="6085" width="9.140625" style="98"/>
    <col min="6086" max="6086" width="10" style="98" bestFit="1" customWidth="1"/>
    <col min="6087" max="6334" width="9.140625" style="98"/>
    <col min="6335" max="6335" width="8.42578125" style="98" customWidth="1"/>
    <col min="6336" max="6336" width="63.5703125" style="98" customWidth="1"/>
    <col min="6337" max="6337" width="24.42578125" style="98" customWidth="1"/>
    <col min="6338" max="6338" width="15" style="98" customWidth="1"/>
    <col min="6339" max="6340" width="11" style="98" bestFit="1" customWidth="1"/>
    <col min="6341" max="6341" width="9.140625" style="98"/>
    <col min="6342" max="6342" width="10" style="98" bestFit="1" customWidth="1"/>
    <col min="6343" max="6590" width="9.140625" style="98"/>
    <col min="6591" max="6591" width="8.42578125" style="98" customWidth="1"/>
    <col min="6592" max="6592" width="63.5703125" style="98" customWidth="1"/>
    <col min="6593" max="6593" width="24.42578125" style="98" customWidth="1"/>
    <col min="6594" max="6594" width="15" style="98" customWidth="1"/>
    <col min="6595" max="6596" width="11" style="98" bestFit="1" customWidth="1"/>
    <col min="6597" max="6597" width="9.140625" style="98"/>
    <col min="6598" max="6598" width="10" style="98" bestFit="1" customWidth="1"/>
    <col min="6599" max="6846" width="9.140625" style="98"/>
    <col min="6847" max="6847" width="8.42578125" style="98" customWidth="1"/>
    <col min="6848" max="6848" width="63.5703125" style="98" customWidth="1"/>
    <col min="6849" max="6849" width="24.42578125" style="98" customWidth="1"/>
    <col min="6850" max="6850" width="15" style="98" customWidth="1"/>
    <col min="6851" max="6852" width="11" style="98" bestFit="1" customWidth="1"/>
    <col min="6853" max="6853" width="9.140625" style="98"/>
    <col min="6854" max="6854" width="10" style="98" bestFit="1" customWidth="1"/>
    <col min="6855" max="7102" width="9.140625" style="98"/>
    <col min="7103" max="7103" width="8.42578125" style="98" customWidth="1"/>
    <col min="7104" max="7104" width="63.5703125" style="98" customWidth="1"/>
    <col min="7105" max="7105" width="24.42578125" style="98" customWidth="1"/>
    <col min="7106" max="7106" width="15" style="98" customWidth="1"/>
    <col min="7107" max="7108" width="11" style="98" bestFit="1" customWidth="1"/>
    <col min="7109" max="7109" width="9.140625" style="98"/>
    <col min="7110" max="7110" width="10" style="98" bestFit="1" customWidth="1"/>
    <col min="7111" max="7358" width="9.140625" style="98"/>
    <col min="7359" max="7359" width="8.42578125" style="98" customWidth="1"/>
    <col min="7360" max="7360" width="63.5703125" style="98" customWidth="1"/>
    <col min="7361" max="7361" width="24.42578125" style="98" customWidth="1"/>
    <col min="7362" max="7362" width="15" style="98" customWidth="1"/>
    <col min="7363" max="7364" width="11" style="98" bestFit="1" customWidth="1"/>
    <col min="7365" max="7365" width="9.140625" style="98"/>
    <col min="7366" max="7366" width="10" style="98" bestFit="1" customWidth="1"/>
    <col min="7367" max="7614" width="9.140625" style="98"/>
    <col min="7615" max="7615" width="8.42578125" style="98" customWidth="1"/>
    <col min="7616" max="7616" width="63.5703125" style="98" customWidth="1"/>
    <col min="7617" max="7617" width="24.42578125" style="98" customWidth="1"/>
    <col min="7618" max="7618" width="15" style="98" customWidth="1"/>
    <col min="7619" max="7620" width="11" style="98" bestFit="1" customWidth="1"/>
    <col min="7621" max="7621" width="9.140625" style="98"/>
    <col min="7622" max="7622" width="10" style="98" bestFit="1" customWidth="1"/>
    <col min="7623" max="7870" width="9.140625" style="98"/>
    <col min="7871" max="7871" width="8.42578125" style="98" customWidth="1"/>
    <col min="7872" max="7872" width="63.5703125" style="98" customWidth="1"/>
    <col min="7873" max="7873" width="24.42578125" style="98" customWidth="1"/>
    <col min="7874" max="7874" width="15" style="98" customWidth="1"/>
    <col min="7875" max="7876" width="11" style="98" bestFit="1" customWidth="1"/>
    <col min="7877" max="7877" width="9.140625" style="98"/>
    <col min="7878" max="7878" width="10" style="98" bestFit="1" customWidth="1"/>
    <col min="7879" max="8126" width="9.140625" style="98"/>
    <col min="8127" max="8127" width="8.42578125" style="98" customWidth="1"/>
    <col min="8128" max="8128" width="63.5703125" style="98" customWidth="1"/>
    <col min="8129" max="8129" width="24.42578125" style="98" customWidth="1"/>
    <col min="8130" max="8130" width="15" style="98" customWidth="1"/>
    <col min="8131" max="8132" width="11" style="98" bestFit="1" customWidth="1"/>
    <col min="8133" max="8133" width="9.140625" style="98"/>
    <col min="8134" max="8134" width="10" style="98" bestFit="1" customWidth="1"/>
    <col min="8135" max="8382" width="9.140625" style="98"/>
    <col min="8383" max="8383" width="8.42578125" style="98" customWidth="1"/>
    <col min="8384" max="8384" width="63.5703125" style="98" customWidth="1"/>
    <col min="8385" max="8385" width="24.42578125" style="98" customWidth="1"/>
    <col min="8386" max="8386" width="15" style="98" customWidth="1"/>
    <col min="8387" max="8388" width="11" style="98" bestFit="1" customWidth="1"/>
    <col min="8389" max="8389" width="9.140625" style="98"/>
    <col min="8390" max="8390" width="10" style="98" bestFit="1" customWidth="1"/>
    <col min="8391" max="8638" width="9.140625" style="98"/>
    <col min="8639" max="8639" width="8.42578125" style="98" customWidth="1"/>
    <col min="8640" max="8640" width="63.5703125" style="98" customWidth="1"/>
    <col min="8641" max="8641" width="24.42578125" style="98" customWidth="1"/>
    <col min="8642" max="8642" width="15" style="98" customWidth="1"/>
    <col min="8643" max="8644" width="11" style="98" bestFit="1" customWidth="1"/>
    <col min="8645" max="8645" width="9.140625" style="98"/>
    <col min="8646" max="8646" width="10" style="98" bestFit="1" customWidth="1"/>
    <col min="8647" max="8894" width="9.140625" style="98"/>
    <col min="8895" max="8895" width="8.42578125" style="98" customWidth="1"/>
    <col min="8896" max="8896" width="63.5703125" style="98" customWidth="1"/>
    <col min="8897" max="8897" width="24.42578125" style="98" customWidth="1"/>
    <col min="8898" max="8898" width="15" style="98" customWidth="1"/>
    <col min="8899" max="8900" width="11" style="98" bestFit="1" customWidth="1"/>
    <col min="8901" max="8901" width="9.140625" style="98"/>
    <col min="8902" max="8902" width="10" style="98" bestFit="1" customWidth="1"/>
    <col min="8903" max="9150" width="9.140625" style="98"/>
    <col min="9151" max="9151" width="8.42578125" style="98" customWidth="1"/>
    <col min="9152" max="9152" width="63.5703125" style="98" customWidth="1"/>
    <col min="9153" max="9153" width="24.42578125" style="98" customWidth="1"/>
    <col min="9154" max="9154" width="15" style="98" customWidth="1"/>
    <col min="9155" max="9156" width="11" style="98" bestFit="1" customWidth="1"/>
    <col min="9157" max="9157" width="9.140625" style="98"/>
    <col min="9158" max="9158" width="10" style="98" bestFit="1" customWidth="1"/>
    <col min="9159" max="9406" width="9.140625" style="98"/>
    <col min="9407" max="9407" width="8.42578125" style="98" customWidth="1"/>
    <col min="9408" max="9408" width="63.5703125" style="98" customWidth="1"/>
    <col min="9409" max="9409" width="24.42578125" style="98" customWidth="1"/>
    <col min="9410" max="9410" width="15" style="98" customWidth="1"/>
    <col min="9411" max="9412" width="11" style="98" bestFit="1" customWidth="1"/>
    <col min="9413" max="9413" width="9.140625" style="98"/>
    <col min="9414" max="9414" width="10" style="98" bestFit="1" customWidth="1"/>
    <col min="9415" max="9662" width="9.140625" style="98"/>
    <col min="9663" max="9663" width="8.42578125" style="98" customWidth="1"/>
    <col min="9664" max="9664" width="63.5703125" style="98" customWidth="1"/>
    <col min="9665" max="9665" width="24.42578125" style="98" customWidth="1"/>
    <col min="9666" max="9666" width="15" style="98" customWidth="1"/>
    <col min="9667" max="9668" width="11" style="98" bestFit="1" customWidth="1"/>
    <col min="9669" max="9669" width="9.140625" style="98"/>
    <col min="9670" max="9670" width="10" style="98" bestFit="1" customWidth="1"/>
    <col min="9671" max="9918" width="9.140625" style="98"/>
    <col min="9919" max="9919" width="8.42578125" style="98" customWidth="1"/>
    <col min="9920" max="9920" width="63.5703125" style="98" customWidth="1"/>
    <col min="9921" max="9921" width="24.42578125" style="98" customWidth="1"/>
    <col min="9922" max="9922" width="15" style="98" customWidth="1"/>
    <col min="9923" max="9924" width="11" style="98" bestFit="1" customWidth="1"/>
    <col min="9925" max="9925" width="9.140625" style="98"/>
    <col min="9926" max="9926" width="10" style="98" bestFit="1" customWidth="1"/>
    <col min="9927" max="10174" width="9.140625" style="98"/>
    <col min="10175" max="10175" width="8.42578125" style="98" customWidth="1"/>
    <col min="10176" max="10176" width="63.5703125" style="98" customWidth="1"/>
    <col min="10177" max="10177" width="24.42578125" style="98" customWidth="1"/>
    <col min="10178" max="10178" width="15" style="98" customWidth="1"/>
    <col min="10179" max="10180" width="11" style="98" bestFit="1" customWidth="1"/>
    <col min="10181" max="10181" width="9.140625" style="98"/>
    <col min="10182" max="10182" width="10" style="98" bestFit="1" customWidth="1"/>
    <col min="10183" max="10430" width="9.140625" style="98"/>
    <col min="10431" max="10431" width="8.42578125" style="98" customWidth="1"/>
    <col min="10432" max="10432" width="63.5703125" style="98" customWidth="1"/>
    <col min="10433" max="10433" width="24.42578125" style="98" customWidth="1"/>
    <col min="10434" max="10434" width="15" style="98" customWidth="1"/>
    <col min="10435" max="10436" width="11" style="98" bestFit="1" customWidth="1"/>
    <col min="10437" max="10437" width="9.140625" style="98"/>
    <col min="10438" max="10438" width="10" style="98" bestFit="1" customWidth="1"/>
    <col min="10439" max="10686" width="9.140625" style="98"/>
    <col min="10687" max="10687" width="8.42578125" style="98" customWidth="1"/>
    <col min="10688" max="10688" width="63.5703125" style="98" customWidth="1"/>
    <col min="10689" max="10689" width="24.42578125" style="98" customWidth="1"/>
    <col min="10690" max="10690" width="15" style="98" customWidth="1"/>
    <col min="10691" max="10692" width="11" style="98" bestFit="1" customWidth="1"/>
    <col min="10693" max="10693" width="9.140625" style="98"/>
    <col min="10694" max="10694" width="10" style="98" bestFit="1" customWidth="1"/>
    <col min="10695" max="10942" width="9.140625" style="98"/>
    <col min="10943" max="10943" width="8.42578125" style="98" customWidth="1"/>
    <col min="10944" max="10944" width="63.5703125" style="98" customWidth="1"/>
    <col min="10945" max="10945" width="24.42578125" style="98" customWidth="1"/>
    <col min="10946" max="10946" width="15" style="98" customWidth="1"/>
    <col min="10947" max="10948" width="11" style="98" bestFit="1" customWidth="1"/>
    <col min="10949" max="10949" width="9.140625" style="98"/>
    <col min="10950" max="10950" width="10" style="98" bestFit="1" customWidth="1"/>
    <col min="10951" max="11198" width="9.140625" style="98"/>
    <col min="11199" max="11199" width="8.42578125" style="98" customWidth="1"/>
    <col min="11200" max="11200" width="63.5703125" style="98" customWidth="1"/>
    <col min="11201" max="11201" width="24.42578125" style="98" customWidth="1"/>
    <col min="11202" max="11202" width="15" style="98" customWidth="1"/>
    <col min="11203" max="11204" width="11" style="98" bestFit="1" customWidth="1"/>
    <col min="11205" max="11205" width="9.140625" style="98"/>
    <col min="11206" max="11206" width="10" style="98" bestFit="1" customWidth="1"/>
    <col min="11207" max="11454" width="9.140625" style="98"/>
    <col min="11455" max="11455" width="8.42578125" style="98" customWidth="1"/>
    <col min="11456" max="11456" width="63.5703125" style="98" customWidth="1"/>
    <col min="11457" max="11457" width="24.42578125" style="98" customWidth="1"/>
    <col min="11458" max="11458" width="15" style="98" customWidth="1"/>
    <col min="11459" max="11460" width="11" style="98" bestFit="1" customWidth="1"/>
    <col min="11461" max="11461" width="9.140625" style="98"/>
    <col min="11462" max="11462" width="10" style="98" bestFit="1" customWidth="1"/>
    <col min="11463" max="11710" width="9.140625" style="98"/>
    <col min="11711" max="11711" width="8.42578125" style="98" customWidth="1"/>
    <col min="11712" max="11712" width="63.5703125" style="98" customWidth="1"/>
    <col min="11713" max="11713" width="24.42578125" style="98" customWidth="1"/>
    <col min="11714" max="11714" width="15" style="98" customWidth="1"/>
    <col min="11715" max="11716" width="11" style="98" bestFit="1" customWidth="1"/>
    <col min="11717" max="11717" width="9.140625" style="98"/>
    <col min="11718" max="11718" width="10" style="98" bestFit="1" customWidth="1"/>
    <col min="11719" max="11966" width="9.140625" style="98"/>
    <col min="11967" max="11967" width="8.42578125" style="98" customWidth="1"/>
    <col min="11968" max="11968" width="63.5703125" style="98" customWidth="1"/>
    <col min="11969" max="11969" width="24.42578125" style="98" customWidth="1"/>
    <col min="11970" max="11970" width="15" style="98" customWidth="1"/>
    <col min="11971" max="11972" width="11" style="98" bestFit="1" customWidth="1"/>
    <col min="11973" max="11973" width="9.140625" style="98"/>
    <col min="11974" max="11974" width="10" style="98" bestFit="1" customWidth="1"/>
    <col min="11975" max="12222" width="9.140625" style="98"/>
    <col min="12223" max="12223" width="8.42578125" style="98" customWidth="1"/>
    <col min="12224" max="12224" width="63.5703125" style="98" customWidth="1"/>
    <col min="12225" max="12225" width="24.42578125" style="98" customWidth="1"/>
    <col min="12226" max="12226" width="15" style="98" customWidth="1"/>
    <col min="12227" max="12228" width="11" style="98" bestFit="1" customWidth="1"/>
    <col min="12229" max="12229" width="9.140625" style="98"/>
    <col min="12230" max="12230" width="10" style="98" bestFit="1" customWidth="1"/>
    <col min="12231" max="12478" width="9.140625" style="98"/>
    <col min="12479" max="12479" width="8.42578125" style="98" customWidth="1"/>
    <col min="12480" max="12480" width="63.5703125" style="98" customWidth="1"/>
    <col min="12481" max="12481" width="24.42578125" style="98" customWidth="1"/>
    <col min="12482" max="12482" width="15" style="98" customWidth="1"/>
    <col min="12483" max="12484" width="11" style="98" bestFit="1" customWidth="1"/>
    <col min="12485" max="12485" width="9.140625" style="98"/>
    <col min="12486" max="12486" width="10" style="98" bestFit="1" customWidth="1"/>
    <col min="12487" max="12734" width="9.140625" style="98"/>
    <col min="12735" max="12735" width="8.42578125" style="98" customWidth="1"/>
    <col min="12736" max="12736" width="63.5703125" style="98" customWidth="1"/>
    <col min="12737" max="12737" width="24.42578125" style="98" customWidth="1"/>
    <col min="12738" max="12738" width="15" style="98" customWidth="1"/>
    <col min="12739" max="12740" width="11" style="98" bestFit="1" customWidth="1"/>
    <col min="12741" max="12741" width="9.140625" style="98"/>
    <col min="12742" max="12742" width="10" style="98" bestFit="1" customWidth="1"/>
    <col min="12743" max="12990" width="9.140625" style="98"/>
    <col min="12991" max="12991" width="8.42578125" style="98" customWidth="1"/>
    <col min="12992" max="12992" width="63.5703125" style="98" customWidth="1"/>
    <col min="12993" max="12993" width="24.42578125" style="98" customWidth="1"/>
    <col min="12994" max="12994" width="15" style="98" customWidth="1"/>
    <col min="12995" max="12996" width="11" style="98" bestFit="1" customWidth="1"/>
    <col min="12997" max="12997" width="9.140625" style="98"/>
    <col min="12998" max="12998" width="10" style="98" bestFit="1" customWidth="1"/>
    <col min="12999" max="13246" width="9.140625" style="98"/>
    <col min="13247" max="13247" width="8.42578125" style="98" customWidth="1"/>
    <col min="13248" max="13248" width="63.5703125" style="98" customWidth="1"/>
    <col min="13249" max="13249" width="24.42578125" style="98" customWidth="1"/>
    <col min="13250" max="13250" width="15" style="98" customWidth="1"/>
    <col min="13251" max="13252" width="11" style="98" bestFit="1" customWidth="1"/>
    <col min="13253" max="13253" width="9.140625" style="98"/>
    <col min="13254" max="13254" width="10" style="98" bestFit="1" customWidth="1"/>
    <col min="13255" max="13502" width="9.140625" style="98"/>
    <col min="13503" max="13503" width="8.42578125" style="98" customWidth="1"/>
    <col min="13504" max="13504" width="63.5703125" style="98" customWidth="1"/>
    <col min="13505" max="13505" width="24.42578125" style="98" customWidth="1"/>
    <col min="13506" max="13506" width="15" style="98" customWidth="1"/>
    <col min="13507" max="13508" width="11" style="98" bestFit="1" customWidth="1"/>
    <col min="13509" max="13509" width="9.140625" style="98"/>
    <col min="13510" max="13510" width="10" style="98" bestFit="1" customWidth="1"/>
    <col min="13511" max="13758" width="9.140625" style="98"/>
    <col min="13759" max="13759" width="8.42578125" style="98" customWidth="1"/>
    <col min="13760" max="13760" width="63.5703125" style="98" customWidth="1"/>
    <col min="13761" max="13761" width="24.42578125" style="98" customWidth="1"/>
    <col min="13762" max="13762" width="15" style="98" customWidth="1"/>
    <col min="13763" max="13764" width="11" style="98" bestFit="1" customWidth="1"/>
    <col min="13765" max="13765" width="9.140625" style="98"/>
    <col min="13766" max="13766" width="10" style="98" bestFit="1" customWidth="1"/>
    <col min="13767" max="14014" width="9.140625" style="98"/>
    <col min="14015" max="14015" width="8.42578125" style="98" customWidth="1"/>
    <col min="14016" max="14016" width="63.5703125" style="98" customWidth="1"/>
    <col min="14017" max="14017" width="24.42578125" style="98" customWidth="1"/>
    <col min="14018" max="14018" width="15" style="98" customWidth="1"/>
    <col min="14019" max="14020" width="11" style="98" bestFit="1" customWidth="1"/>
    <col min="14021" max="14021" width="9.140625" style="98"/>
    <col min="14022" max="14022" width="10" style="98" bestFit="1" customWidth="1"/>
    <col min="14023" max="14270" width="9.140625" style="98"/>
    <col min="14271" max="14271" width="8.42578125" style="98" customWidth="1"/>
    <col min="14272" max="14272" width="63.5703125" style="98" customWidth="1"/>
    <col min="14273" max="14273" width="24.42578125" style="98" customWidth="1"/>
    <col min="14274" max="14274" width="15" style="98" customWidth="1"/>
    <col min="14275" max="14276" width="11" style="98" bestFit="1" customWidth="1"/>
    <col min="14277" max="14277" width="9.140625" style="98"/>
    <col min="14278" max="14278" width="10" style="98" bestFit="1" customWidth="1"/>
    <col min="14279" max="14526" width="9.140625" style="98"/>
    <col min="14527" max="14527" width="8.42578125" style="98" customWidth="1"/>
    <col min="14528" max="14528" width="63.5703125" style="98" customWidth="1"/>
    <col min="14529" max="14529" width="24.42578125" style="98" customWidth="1"/>
    <col min="14530" max="14530" width="15" style="98" customWidth="1"/>
    <col min="14531" max="14532" width="11" style="98" bestFit="1" customWidth="1"/>
    <col min="14533" max="14533" width="9.140625" style="98"/>
    <col min="14534" max="14534" width="10" style="98" bestFit="1" customWidth="1"/>
    <col min="14535" max="14782" width="9.140625" style="98"/>
    <col min="14783" max="14783" width="8.42578125" style="98" customWidth="1"/>
    <col min="14784" max="14784" width="63.5703125" style="98" customWidth="1"/>
    <col min="14785" max="14785" width="24.42578125" style="98" customWidth="1"/>
    <col min="14786" max="14786" width="15" style="98" customWidth="1"/>
    <col min="14787" max="14788" width="11" style="98" bestFit="1" customWidth="1"/>
    <col min="14789" max="14789" width="9.140625" style="98"/>
    <col min="14790" max="14790" width="10" style="98" bestFit="1" customWidth="1"/>
    <col min="14791" max="15038" width="9.140625" style="98"/>
    <col min="15039" max="15039" width="8.42578125" style="98" customWidth="1"/>
    <col min="15040" max="15040" width="63.5703125" style="98" customWidth="1"/>
    <col min="15041" max="15041" width="24.42578125" style="98" customWidth="1"/>
    <col min="15042" max="15042" width="15" style="98" customWidth="1"/>
    <col min="15043" max="15044" width="11" style="98" bestFit="1" customWidth="1"/>
    <col min="15045" max="15045" width="9.140625" style="98"/>
    <col min="15046" max="15046" width="10" style="98" bestFit="1" customWidth="1"/>
    <col min="15047" max="15294" width="9.140625" style="98"/>
    <col min="15295" max="15295" width="8.42578125" style="98" customWidth="1"/>
    <col min="15296" max="15296" width="63.5703125" style="98" customWidth="1"/>
    <col min="15297" max="15297" width="24.42578125" style="98" customWidth="1"/>
    <col min="15298" max="15298" width="15" style="98" customWidth="1"/>
    <col min="15299" max="15300" width="11" style="98" bestFit="1" customWidth="1"/>
    <col min="15301" max="15301" width="9.140625" style="98"/>
    <col min="15302" max="15302" width="10" style="98" bestFit="1" customWidth="1"/>
    <col min="15303" max="15550" width="9.140625" style="98"/>
    <col min="15551" max="15551" width="8.42578125" style="98" customWidth="1"/>
    <col min="15552" max="15552" width="63.5703125" style="98" customWidth="1"/>
    <col min="15553" max="15553" width="24.42578125" style="98" customWidth="1"/>
    <col min="15554" max="15554" width="15" style="98" customWidth="1"/>
    <col min="15555" max="15556" width="11" style="98" bestFit="1" customWidth="1"/>
    <col min="15557" max="15557" width="9.140625" style="98"/>
    <col min="15558" max="15558" width="10" style="98" bestFit="1" customWidth="1"/>
    <col min="15559" max="15806" width="9.140625" style="98"/>
    <col min="15807" max="15807" width="8.42578125" style="98" customWidth="1"/>
    <col min="15808" max="15808" width="63.5703125" style="98" customWidth="1"/>
    <col min="15809" max="15809" width="24.42578125" style="98" customWidth="1"/>
    <col min="15810" max="15810" width="15" style="98" customWidth="1"/>
    <col min="15811" max="15812" width="11" style="98" bestFit="1" customWidth="1"/>
    <col min="15813" max="15813" width="9.140625" style="98"/>
    <col min="15814" max="15814" width="10" style="98" bestFit="1" customWidth="1"/>
    <col min="15815" max="16062" width="9.140625" style="98"/>
    <col min="16063" max="16063" width="8.42578125" style="98" customWidth="1"/>
    <col min="16064" max="16064" width="63.5703125" style="98" customWidth="1"/>
    <col min="16065" max="16065" width="24.42578125" style="98" customWidth="1"/>
    <col min="16066" max="16066" width="15" style="98" customWidth="1"/>
    <col min="16067" max="16068" width="11" style="98" bestFit="1" customWidth="1"/>
    <col min="16069" max="16069" width="9.140625" style="98"/>
    <col min="16070" max="16070" width="10" style="98" bestFit="1" customWidth="1"/>
    <col min="16071" max="16384" width="9.140625" style="98"/>
  </cols>
  <sheetData>
    <row r="1" spans="1:185" ht="18.75" customHeight="1" x14ac:dyDescent="0.3">
      <c r="A1" s="282" t="s">
        <v>30</v>
      </c>
      <c r="B1" s="282"/>
      <c r="C1" s="282"/>
      <c r="D1" s="282"/>
      <c r="E1" s="282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</row>
    <row r="2" spans="1:185" ht="30" customHeight="1" x14ac:dyDescent="0.25">
      <c r="A2" s="283" t="s">
        <v>39</v>
      </c>
      <c r="B2" s="283"/>
      <c r="C2" s="283"/>
      <c r="D2" s="283"/>
      <c r="E2" s="283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</row>
    <row r="3" spans="1:185" ht="39.75" customHeight="1" x14ac:dyDescent="0.25">
      <c r="A3" s="277" t="s">
        <v>114</v>
      </c>
      <c r="B3" s="277"/>
      <c r="C3" s="277"/>
      <c r="D3" s="277"/>
      <c r="E3" s="27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</row>
    <row r="4" spans="1:185" ht="15" customHeight="1" x14ac:dyDescent="0.25">
      <c r="A4" s="278" t="s">
        <v>31</v>
      </c>
      <c r="B4" s="280" t="s">
        <v>32</v>
      </c>
      <c r="C4" s="280" t="s">
        <v>33</v>
      </c>
      <c r="D4" s="280" t="s">
        <v>34</v>
      </c>
      <c r="E4" s="284" t="s">
        <v>40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</row>
    <row r="5" spans="1:185" ht="15" customHeight="1" x14ac:dyDescent="0.25">
      <c r="A5" s="279"/>
      <c r="B5" s="281"/>
      <c r="C5" s="281"/>
      <c r="D5" s="281"/>
      <c r="E5" s="285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</row>
    <row r="6" spans="1:185" ht="15.75" x14ac:dyDescent="0.25">
      <c r="A6" s="99">
        <v>1</v>
      </c>
      <c r="B6" s="100">
        <v>2</v>
      </c>
      <c r="C6" s="100">
        <v>3</v>
      </c>
      <c r="D6" s="100">
        <v>4</v>
      </c>
      <c r="E6" s="121">
        <v>3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</row>
    <row r="7" spans="1:185" ht="18.75" x14ac:dyDescent="0.25">
      <c r="A7" s="101">
        <v>1</v>
      </c>
      <c r="B7" s="115" t="s">
        <v>117</v>
      </c>
      <c r="C7" s="102" t="s">
        <v>35</v>
      </c>
      <c r="D7" s="100"/>
      <c r="E7" s="235">
        <f>'Проектные работы (2)'!G34</f>
        <v>137.46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</row>
    <row r="8" spans="1:185" ht="18.75" x14ac:dyDescent="0.3">
      <c r="A8" s="101">
        <v>2</v>
      </c>
      <c r="B8" s="116" t="s">
        <v>41</v>
      </c>
      <c r="C8" s="102" t="s">
        <v>35</v>
      </c>
      <c r="D8" s="102">
        <v>1</v>
      </c>
      <c r="E8" s="236">
        <f>E9+E10</f>
        <v>2410.5700000000002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</row>
    <row r="9" spans="1:185" ht="15.75" x14ac:dyDescent="0.25">
      <c r="A9" s="101"/>
      <c r="B9" s="117" t="s">
        <v>42</v>
      </c>
      <c r="C9" s="102"/>
      <c r="D9" s="102"/>
      <c r="E9" s="237">
        <f>'Проектные работы (2)'!G28</f>
        <v>1022.73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</row>
    <row r="10" spans="1:185" ht="15.75" x14ac:dyDescent="0.25">
      <c r="A10" s="101"/>
      <c r="B10" s="117" t="s">
        <v>24</v>
      </c>
      <c r="C10" s="102"/>
      <c r="D10" s="102"/>
      <c r="E10" s="237">
        <f>'Проектные работы (2)'!G29</f>
        <v>1387.84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</row>
    <row r="11" spans="1:185" ht="18.75" hidden="1" x14ac:dyDescent="0.3">
      <c r="A11" s="101"/>
      <c r="B11" s="51"/>
      <c r="C11" s="102"/>
      <c r="D11" s="102"/>
      <c r="E11" s="236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</row>
    <row r="12" spans="1:185" ht="18.75" x14ac:dyDescent="0.25">
      <c r="A12" s="99"/>
      <c r="B12" s="103" t="s">
        <v>16</v>
      </c>
      <c r="C12" s="102" t="s">
        <v>35</v>
      </c>
      <c r="D12" s="102">
        <v>1</v>
      </c>
      <c r="E12" s="237">
        <f>E7+E8+E11</f>
        <v>2548.0300000000002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</row>
    <row r="13" spans="1:185" ht="18.75" hidden="1" x14ac:dyDescent="0.25">
      <c r="A13" s="101">
        <v>9</v>
      </c>
      <c r="B13" s="104" t="s">
        <v>43</v>
      </c>
      <c r="C13" s="102" t="s">
        <v>35</v>
      </c>
      <c r="D13" s="102">
        <v>1</v>
      </c>
      <c r="E13" s="238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</row>
    <row r="14" spans="1:185" ht="18.75" hidden="1" x14ac:dyDescent="0.25">
      <c r="A14" s="101">
        <v>10</v>
      </c>
      <c r="B14" s="104" t="s">
        <v>6</v>
      </c>
      <c r="C14" s="102" t="s">
        <v>35</v>
      </c>
      <c r="D14" s="102">
        <v>1</v>
      </c>
      <c r="E14" s="238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</row>
    <row r="15" spans="1:185" ht="18.75" hidden="1" x14ac:dyDescent="0.25">
      <c r="A15" s="101"/>
      <c r="B15" s="105" t="s">
        <v>36</v>
      </c>
      <c r="C15" s="106"/>
      <c r="D15" s="106"/>
      <c r="E15" s="238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</row>
    <row r="16" spans="1:185" ht="18.75" hidden="1" x14ac:dyDescent="0.25">
      <c r="A16" s="107"/>
      <c r="B16" s="108" t="s">
        <v>44</v>
      </c>
      <c r="C16" s="108"/>
      <c r="D16" s="108"/>
      <c r="E16" s="23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</row>
    <row r="17" spans="1:185" ht="15.75" hidden="1" x14ac:dyDescent="0.25">
      <c r="A17" s="110"/>
      <c r="B17" s="111" t="s">
        <v>37</v>
      </c>
      <c r="C17" s="111"/>
      <c r="D17" s="111"/>
      <c r="E17" s="239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</row>
    <row r="18" spans="1:185" ht="15.75" hidden="1" x14ac:dyDescent="0.25">
      <c r="A18" s="286" t="s">
        <v>38</v>
      </c>
      <c r="B18" s="286"/>
      <c r="C18" s="286"/>
      <c r="D18" s="286"/>
      <c r="E18" s="240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</row>
    <row r="19" spans="1:185" ht="20.25" x14ac:dyDescent="0.3">
      <c r="A19" s="118"/>
      <c r="B19" s="118" t="s">
        <v>45</v>
      </c>
      <c r="C19" s="118"/>
      <c r="D19" s="118"/>
      <c r="E19" s="241">
        <f>E12*20%</f>
        <v>509.61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</row>
    <row r="20" spans="1:185" x14ac:dyDescent="0.25">
      <c r="A20" s="119"/>
      <c r="B20" s="119" t="s">
        <v>17</v>
      </c>
      <c r="C20" s="119"/>
      <c r="D20" s="119"/>
      <c r="E20" s="236">
        <f>E12+E19</f>
        <v>3057.64</v>
      </c>
    </row>
    <row r="21" spans="1:185" x14ac:dyDescent="0.25">
      <c r="B21" s="114"/>
      <c r="C21" s="114"/>
      <c r="D21" s="114"/>
    </row>
    <row r="22" spans="1:185" ht="55.5" customHeight="1" x14ac:dyDescent="0.25">
      <c r="A22" s="276" t="s">
        <v>38</v>
      </c>
      <c r="B22" s="276"/>
      <c r="C22" s="276"/>
      <c r="D22" s="276"/>
      <c r="E22" s="276"/>
    </row>
    <row r="23" spans="1:185" ht="37.5" customHeight="1" x14ac:dyDescent="0.25">
      <c r="B23" s="120"/>
    </row>
    <row r="24" spans="1:185" ht="15.75" x14ac:dyDescent="0.25">
      <c r="B24" s="120"/>
    </row>
    <row r="25" spans="1:185" ht="15.75" x14ac:dyDescent="0.25">
      <c r="B25" s="120"/>
    </row>
    <row r="27" spans="1:185" ht="15.75" customHeight="1" x14ac:dyDescent="0.25"/>
    <row r="34" spans="7:7" x14ac:dyDescent="0.25">
      <c r="G34" s="98">
        <f>G35+G36+G37</f>
        <v>0</v>
      </c>
    </row>
  </sheetData>
  <mergeCells count="10">
    <mergeCell ref="A1:E1"/>
    <mergeCell ref="A2:E2"/>
    <mergeCell ref="D4:D5"/>
    <mergeCell ref="E4:E5"/>
    <mergeCell ref="A18:D18"/>
    <mergeCell ref="A22:E22"/>
    <mergeCell ref="A3:E3"/>
    <mergeCell ref="A4:A5"/>
    <mergeCell ref="B4:B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Проектные работы (2)</vt:lpstr>
      <vt:lpstr>геодезия</vt:lpstr>
      <vt:lpstr>геология</vt:lpstr>
      <vt:lpstr>сведения</vt:lpstr>
      <vt:lpstr>'Проектные работы (2)'!Область_печати</vt:lpstr>
      <vt:lpstr>сведения!Область_печати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2022-05-16T12:25:01Z</dcterms:modified>
</cp:coreProperties>
</file>